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0.39\国保年金課\常用\保険課税係\試算\ホームページ\R8HP用\"/>
    </mc:Choice>
  </mc:AlternateContent>
  <workbookProtection workbookPassword="C62D" lockStructure="1"/>
  <bookViews>
    <workbookView xWindow="405" yWindow="-135" windowWidth="8115" windowHeight="11640"/>
  </bookViews>
  <sheets>
    <sheet name="試算" sheetId="6" r:id="rId1"/>
    <sheet name="データ1" sheetId="8" state="hidden" r:id="rId2"/>
    <sheet name="データ2" sheetId="2" state="hidden" r:id="rId3"/>
  </sheets>
  <definedNames>
    <definedName name="_xlnm.Print_Area" localSheetId="0">試算!$A$1:$O$40</definedName>
    <definedName name="高齢">データ1!$J$8:$K$13</definedName>
    <definedName name="高齢２">データ1!$J$14:$K$20</definedName>
    <definedName name="高齢３">データ1!$J$21:$K$26</definedName>
    <definedName name="高齢４">データ1!$J$27:$K$32</definedName>
    <definedName name="高齢５">データ1!$J$33:$K$38</definedName>
    <definedName name="中齢">データ1!$L$8:$M$13</definedName>
    <definedName name="中齢２">データ1!$L$14:$M$20</definedName>
    <definedName name="中齢３">データ1!$L$21:$M$26</definedName>
    <definedName name="中齢4">データ1!$L$27:$M$32</definedName>
    <definedName name="中齢５">データ1!$L$33:$M$38</definedName>
  </definedNames>
  <calcPr calcId="162913"/>
</workbook>
</file>

<file path=xl/calcChain.xml><?xml version="1.0" encoding="utf-8"?>
<calcChain xmlns="http://schemas.openxmlformats.org/spreadsheetml/2006/main">
  <c r="O36" i="6" l="1"/>
  <c r="F21" i="8" l="1"/>
  <c r="F22" i="8"/>
  <c r="F23" i="8"/>
  <c r="F24" i="8"/>
  <c r="F20" i="8"/>
  <c r="J3" i="8" l="1"/>
  <c r="K3" i="8"/>
  <c r="M8" i="8" s="1"/>
  <c r="J4" i="8"/>
  <c r="K4" i="8"/>
  <c r="M15" i="8" s="1"/>
  <c r="J5" i="8"/>
  <c r="K5" i="8"/>
  <c r="K17" i="8" s="1"/>
  <c r="J6" i="8"/>
  <c r="K6" i="8"/>
  <c r="K32" i="8" s="1"/>
  <c r="J7" i="8"/>
  <c r="K7" i="8"/>
  <c r="K34" i="8" s="1"/>
  <c r="M33" i="8"/>
  <c r="J57" i="8"/>
  <c r="I58" i="8"/>
  <c r="J58" i="8"/>
  <c r="I59" i="8"/>
  <c r="J59" i="8"/>
  <c r="A30" i="8"/>
  <c r="A27" i="8"/>
  <c r="D7" i="8"/>
  <c r="E44" i="8" s="1"/>
  <c r="D6" i="8"/>
  <c r="E34" i="8" s="1"/>
  <c r="D5" i="8"/>
  <c r="E28" i="8" s="1"/>
  <c r="D4" i="8"/>
  <c r="E17" i="8" s="1"/>
  <c r="D3" i="8"/>
  <c r="E12" i="8" s="1"/>
  <c r="O27" i="6"/>
  <c r="O29" i="6"/>
  <c r="O28" i="6"/>
  <c r="O26" i="6"/>
  <c r="I29" i="6"/>
  <c r="C22" i="6"/>
  <c r="I26" i="6"/>
  <c r="I28" i="6"/>
  <c r="L28" i="6" s="1"/>
  <c r="H29" i="6"/>
  <c r="K29" i="6"/>
  <c r="M29" i="6" s="1"/>
  <c r="E29" i="6"/>
  <c r="E28" i="6"/>
  <c r="K28" i="6"/>
  <c r="K27" i="6"/>
  <c r="M27" i="6" s="1"/>
  <c r="K26" i="6"/>
  <c r="M26" i="6" s="1"/>
  <c r="H28" i="6"/>
  <c r="H27" i="6"/>
  <c r="H26" i="6"/>
  <c r="E27" i="6"/>
  <c r="E26" i="6"/>
  <c r="I27" i="6"/>
  <c r="M28" i="8"/>
  <c r="A24" i="8"/>
  <c r="A23" i="8"/>
  <c r="L7" i="8"/>
  <c r="M22" i="8" l="1"/>
  <c r="M17" i="8"/>
  <c r="M25" i="8"/>
  <c r="K15" i="8"/>
  <c r="K33" i="8"/>
  <c r="M24" i="8"/>
  <c r="K22" i="8"/>
  <c r="M34" i="8"/>
  <c r="M26" i="8"/>
  <c r="K24" i="8"/>
  <c r="M21" i="8"/>
  <c r="K12" i="8"/>
  <c r="M36" i="8"/>
  <c r="M37" i="8"/>
  <c r="K26" i="8"/>
  <c r="M23" i="8"/>
  <c r="K20" i="8"/>
  <c r="K8" i="8"/>
  <c r="K29" i="8"/>
  <c r="K37" i="8"/>
  <c r="K30" i="8"/>
  <c r="M31" i="8"/>
  <c r="K19" i="8"/>
  <c r="M14" i="8"/>
  <c r="K31" i="8"/>
  <c r="M38" i="8"/>
  <c r="E9" i="8"/>
  <c r="K36" i="8"/>
  <c r="M30" i="8"/>
  <c r="M35" i="8"/>
  <c r="M29" i="8"/>
  <c r="K25" i="8"/>
  <c r="K23" i="8"/>
  <c r="K21" i="8"/>
  <c r="K10" i="8"/>
  <c r="K27" i="8"/>
  <c r="J29" i="6"/>
  <c r="E18" i="8"/>
  <c r="E45" i="8"/>
  <c r="J27" i="6"/>
  <c r="J26" i="6"/>
  <c r="M32" i="8"/>
  <c r="M27" i="8"/>
  <c r="M18" i="8"/>
  <c r="M16" i="8"/>
  <c r="K14" i="8"/>
  <c r="K38" i="8"/>
  <c r="K28" i="8"/>
  <c r="M19" i="8"/>
  <c r="K35" i="8"/>
  <c r="M20" i="8"/>
  <c r="K18" i="8"/>
  <c r="K16" i="8"/>
  <c r="E36" i="8"/>
  <c r="E35" i="8"/>
  <c r="E33" i="8"/>
  <c r="E37" i="8"/>
  <c r="E27" i="8"/>
  <c r="E25" i="8"/>
  <c r="E26" i="8"/>
  <c r="E29" i="8"/>
  <c r="E5" i="8" s="1"/>
  <c r="F5" i="8" s="1"/>
  <c r="E21" i="8"/>
  <c r="E19" i="8"/>
  <c r="E20" i="8"/>
  <c r="E42" i="8"/>
  <c r="E43" i="8"/>
  <c r="M13" i="8"/>
  <c r="M11" i="8"/>
  <c r="M9" i="8"/>
  <c r="J28" i="6"/>
  <c r="M28" i="6"/>
  <c r="E10" i="8"/>
  <c r="E13" i="8"/>
  <c r="E11" i="8"/>
  <c r="E41" i="8"/>
  <c r="K13" i="8"/>
  <c r="K11" i="8"/>
  <c r="K9" i="8"/>
  <c r="M12" i="8"/>
  <c r="M10" i="8"/>
  <c r="L4" i="8"/>
  <c r="L3" i="8"/>
  <c r="L6" i="8"/>
  <c r="L5" i="8"/>
  <c r="E4" i="8" l="1"/>
  <c r="F4" i="8" s="1"/>
  <c r="M4" i="8" s="1"/>
  <c r="N4" i="8" s="1"/>
  <c r="J18" i="6" s="1"/>
  <c r="F12" i="8" s="1"/>
  <c r="E6" i="8"/>
  <c r="F6" i="8" s="1"/>
  <c r="E3" i="8"/>
  <c r="F3" i="8" s="1"/>
  <c r="M3" i="8" s="1"/>
  <c r="N3" i="8" s="1"/>
  <c r="J17" i="6" s="1"/>
  <c r="M5" i="8"/>
  <c r="N5" i="8" s="1"/>
  <c r="J19" i="6" s="1"/>
  <c r="F13" i="8" s="1"/>
  <c r="E7" i="8"/>
  <c r="F7" i="8" s="1"/>
  <c r="M7" i="8" s="1"/>
  <c r="N7" i="8" s="1"/>
  <c r="J21" i="6" s="1"/>
  <c r="F15" i="8" s="1"/>
  <c r="M6" i="8"/>
  <c r="N6" i="8" s="1"/>
  <c r="J20" i="6" s="1"/>
  <c r="F14" i="8" s="1"/>
  <c r="F11" i="8" l="1"/>
  <c r="G11" i="8" s="1"/>
  <c r="F27" i="8" s="1"/>
  <c r="H17" i="6" s="1"/>
  <c r="M17" i="6" s="1"/>
  <c r="G15" i="8"/>
  <c r="F31" i="8" s="1"/>
  <c r="H21" i="6" s="1"/>
  <c r="G14" i="8"/>
  <c r="F30" i="8" s="1"/>
  <c r="H20" i="6" s="1"/>
  <c r="G12" i="8"/>
  <c r="F28" i="8" s="1"/>
  <c r="H18" i="6" s="1"/>
  <c r="G13" i="8"/>
  <c r="F29" i="8" s="1"/>
  <c r="H19" i="6" s="1"/>
  <c r="M18" i="6" l="1"/>
  <c r="N18" i="6" s="1"/>
  <c r="A11" i="8" s="1"/>
  <c r="O18" i="6" s="1"/>
  <c r="A21" i="8" s="1"/>
  <c r="M21" i="6"/>
  <c r="N21" i="6" s="1"/>
  <c r="A14" i="8" s="1"/>
  <c r="O21" i="6" s="1"/>
  <c r="M20" i="6"/>
  <c r="N20" i="6" s="1"/>
  <c r="A13" i="8" s="1"/>
  <c r="O20" i="6" s="1"/>
  <c r="M19" i="6"/>
  <c r="N19" i="6" s="1"/>
  <c r="A12" i="8" s="1"/>
  <c r="O19" i="6" s="1"/>
  <c r="A22" i="8" s="1"/>
  <c r="N17" i="6"/>
  <c r="A10" i="8" s="1"/>
  <c r="O17" i="6" s="1"/>
  <c r="A20" i="8" l="1"/>
  <c r="D28" i="6" s="1"/>
  <c r="G28" i="6" s="1"/>
  <c r="N28" i="6" s="1"/>
  <c r="D26" i="6"/>
  <c r="G26" i="6" s="1"/>
  <c r="N26" i="6" s="1"/>
  <c r="D29" i="6"/>
  <c r="G29" i="6" s="1"/>
  <c r="N29" i="6" s="1"/>
  <c r="D27" i="6"/>
  <c r="G27" i="6" s="1"/>
  <c r="N27" i="6" s="1"/>
  <c r="N31" i="6" l="1"/>
  <c r="N33" i="6" s="1"/>
  <c r="N36" i="6" s="1"/>
</calcChain>
</file>

<file path=xl/sharedStrings.xml><?xml version="1.0" encoding="utf-8"?>
<sst xmlns="http://schemas.openxmlformats.org/spreadsheetml/2006/main" count="190" uniqueCount="142">
  <si>
    <t>所得割</t>
    <rPh sb="0" eb="2">
      <t>ショトク</t>
    </rPh>
    <rPh sb="2" eb="3">
      <t>ワリ</t>
    </rPh>
    <phoneticPr fontId="2"/>
  </si>
  <si>
    <t>均等割</t>
    <rPh sb="0" eb="3">
      <t>キントウワリ</t>
    </rPh>
    <phoneticPr fontId="2"/>
  </si>
  <si>
    <t>平等割</t>
    <rPh sb="0" eb="2">
      <t>ビョウドウ</t>
    </rPh>
    <rPh sb="2" eb="3">
      <t>ワリ</t>
    </rPh>
    <phoneticPr fontId="2"/>
  </si>
  <si>
    <t>限度額</t>
    <rPh sb="0" eb="2">
      <t>ゲンド</t>
    </rPh>
    <rPh sb="2" eb="3">
      <t>ガク</t>
    </rPh>
    <phoneticPr fontId="2"/>
  </si>
  <si>
    <t>医療分</t>
    <rPh sb="0" eb="2">
      <t>イリョウ</t>
    </rPh>
    <rPh sb="2" eb="3">
      <t>ブン</t>
    </rPh>
    <phoneticPr fontId="2"/>
  </si>
  <si>
    <t>介護分</t>
    <rPh sb="0" eb="2">
      <t>カイゴ</t>
    </rPh>
    <rPh sb="2" eb="3">
      <t>ブン</t>
    </rPh>
    <phoneticPr fontId="2"/>
  </si>
  <si>
    <t>給与所得</t>
    <rPh sb="0" eb="2">
      <t>キュウヨ</t>
    </rPh>
    <rPh sb="2" eb="4">
      <t>ショトク</t>
    </rPh>
    <phoneticPr fontId="2"/>
  </si>
  <si>
    <t>基準総所得金額</t>
    <rPh sb="0" eb="2">
      <t>キジュン</t>
    </rPh>
    <rPh sb="2" eb="5">
      <t>ソウショトク</t>
    </rPh>
    <rPh sb="5" eb="7">
      <t>キンガク</t>
    </rPh>
    <phoneticPr fontId="2"/>
  </si>
  <si>
    <t>税率</t>
    <rPh sb="0" eb="2">
      <t>ゼイリツ</t>
    </rPh>
    <phoneticPr fontId="2"/>
  </si>
  <si>
    <t>加入人数</t>
    <rPh sb="0" eb="2">
      <t>カニュウ</t>
    </rPh>
    <rPh sb="2" eb="4">
      <t>ニンズウ</t>
    </rPh>
    <phoneticPr fontId="2"/>
  </si>
  <si>
    <t>所得割額</t>
    <rPh sb="0" eb="2">
      <t>ショトク</t>
    </rPh>
    <rPh sb="2" eb="3">
      <t>ワリ</t>
    </rPh>
    <rPh sb="3" eb="4">
      <t>ガク</t>
    </rPh>
    <phoneticPr fontId="2"/>
  </si>
  <si>
    <t>均等割額</t>
    <rPh sb="0" eb="3">
      <t>キントウワリ</t>
    </rPh>
    <rPh sb="3" eb="4">
      <t>ガク</t>
    </rPh>
    <phoneticPr fontId="2"/>
  </si>
  <si>
    <t>基礎控除</t>
    <rPh sb="0" eb="2">
      <t>キソ</t>
    </rPh>
    <rPh sb="2" eb="4">
      <t>コウジョ</t>
    </rPh>
    <phoneticPr fontId="2"/>
  </si>
  <si>
    <t>①　直す必要のあるセルにカーソルをもっていく。</t>
    <rPh sb="2" eb="3">
      <t>ナオ</t>
    </rPh>
    <rPh sb="4" eb="6">
      <t>ヒツヨウ</t>
    </rPh>
    <phoneticPr fontId="2"/>
  </si>
  <si>
    <t>合計</t>
    <rPh sb="0" eb="2">
      <t>ゴウケイ</t>
    </rPh>
    <phoneticPr fontId="2"/>
  </si>
  <si>
    <t>②　【書式】⇒【条件付き設定】で該当する箇所を参照する。</t>
    <rPh sb="3" eb="5">
      <t>ショシキ</t>
    </rPh>
    <rPh sb="8" eb="10">
      <t>ジョウケン</t>
    </rPh>
    <rPh sb="10" eb="11">
      <t>ツ</t>
    </rPh>
    <rPh sb="12" eb="14">
      <t>セッテイ</t>
    </rPh>
    <rPh sb="16" eb="18">
      <t>ガイトウ</t>
    </rPh>
    <rPh sb="20" eb="22">
      <t>カショ</t>
    </rPh>
    <rPh sb="23" eb="25">
      <t>サンショウ</t>
    </rPh>
    <phoneticPr fontId="2"/>
  </si>
  <si>
    <t>１人目</t>
    <rPh sb="1" eb="2">
      <t>リ</t>
    </rPh>
    <rPh sb="2" eb="3">
      <t>メ</t>
    </rPh>
    <phoneticPr fontId="2"/>
  </si>
  <si>
    <t>２人目</t>
    <rPh sb="1" eb="2">
      <t>リ</t>
    </rPh>
    <rPh sb="2" eb="3">
      <t>メ</t>
    </rPh>
    <phoneticPr fontId="2"/>
  </si>
  <si>
    <t>３人目</t>
    <rPh sb="1" eb="2">
      <t>リ</t>
    </rPh>
    <rPh sb="2" eb="3">
      <t>メ</t>
    </rPh>
    <phoneticPr fontId="2"/>
  </si>
  <si>
    <t>４人目</t>
    <rPh sb="1" eb="2">
      <t>リ</t>
    </rPh>
    <rPh sb="2" eb="3">
      <t>メ</t>
    </rPh>
    <phoneticPr fontId="2"/>
  </si>
  <si>
    <t>５人目</t>
    <rPh sb="1" eb="2">
      <t>リ</t>
    </rPh>
    <rPh sb="2" eb="3">
      <t>メ</t>
    </rPh>
    <phoneticPr fontId="2"/>
  </si>
  <si>
    <t>公的年金所得</t>
    <rPh sb="0" eb="2">
      <t>コウテキ</t>
    </rPh>
    <rPh sb="2" eb="4">
      <t>ネンキン</t>
    </rPh>
    <rPh sb="4" eb="6">
      <t>ショトク</t>
    </rPh>
    <phoneticPr fontId="2"/>
  </si>
  <si>
    <t>合計所得</t>
    <rPh sb="0" eb="2">
      <t>ゴウケイ</t>
    </rPh>
    <rPh sb="2" eb="4">
      <t>ショトク</t>
    </rPh>
    <phoneticPr fontId="2"/>
  </si>
  <si>
    <t>支援分</t>
    <rPh sb="0" eb="2">
      <t>シエン</t>
    </rPh>
    <rPh sb="2" eb="3">
      <t>ブン</t>
    </rPh>
    <phoneticPr fontId="2"/>
  </si>
  <si>
    <t>※　各々の合計額が限度額に達した場合、フォントを赤色太字に強調してあります。限度額が変更になった場合、その部分は自動で変更されないので、直す必要があります。</t>
    <rPh sb="2" eb="4">
      <t>オノオノ</t>
    </rPh>
    <rPh sb="5" eb="7">
      <t>ゴウケイ</t>
    </rPh>
    <rPh sb="7" eb="8">
      <t>ガク</t>
    </rPh>
    <rPh sb="9" eb="11">
      <t>ゲンド</t>
    </rPh>
    <rPh sb="11" eb="12">
      <t>ガク</t>
    </rPh>
    <rPh sb="13" eb="14">
      <t>タッ</t>
    </rPh>
    <rPh sb="16" eb="18">
      <t>バアイ</t>
    </rPh>
    <rPh sb="24" eb="26">
      <t>アカイロ</t>
    </rPh>
    <rPh sb="26" eb="28">
      <t>フトジ</t>
    </rPh>
    <rPh sb="29" eb="31">
      <t>キョウチョウ</t>
    </rPh>
    <phoneticPr fontId="2"/>
  </si>
  <si>
    <t>↓</t>
    <phoneticPr fontId="2"/>
  </si>
  <si>
    <t>65歳</t>
    <rPh sb="2" eb="3">
      <t>サイ</t>
    </rPh>
    <phoneticPr fontId="2"/>
  </si>
  <si>
    <t>66歳以上</t>
    <rPh sb="2" eb="5">
      <t>サイイジョウ</t>
    </rPh>
    <phoneticPr fontId="2"/>
  </si>
  <si>
    <t>③　限度額を訂正する（【ﾙｰﾙの管理】⇒【ﾙｰﾙの編集】⇒値を訂正し、【適用】）。</t>
    <rPh sb="2" eb="4">
      <t>ゲンド</t>
    </rPh>
    <rPh sb="4" eb="5">
      <t>ガク</t>
    </rPh>
    <rPh sb="6" eb="8">
      <t>テイセイ</t>
    </rPh>
    <phoneticPr fontId="2"/>
  </si>
  <si>
    <t>給与所得１人目</t>
    <rPh sb="0" eb="2">
      <t>キュウヨ</t>
    </rPh>
    <rPh sb="2" eb="4">
      <t>ショトク</t>
    </rPh>
    <rPh sb="5" eb="6">
      <t>ニン</t>
    </rPh>
    <rPh sb="6" eb="7">
      <t>メ</t>
    </rPh>
    <phoneticPr fontId="2"/>
  </si>
  <si>
    <t>給与所得２人目</t>
    <rPh sb="0" eb="2">
      <t>キュウヨ</t>
    </rPh>
    <rPh sb="2" eb="4">
      <t>ショトク</t>
    </rPh>
    <rPh sb="5" eb="6">
      <t>ニン</t>
    </rPh>
    <rPh sb="6" eb="7">
      <t>メ</t>
    </rPh>
    <phoneticPr fontId="2"/>
  </si>
  <si>
    <t>給与所得３人目</t>
    <rPh sb="0" eb="2">
      <t>キュウヨ</t>
    </rPh>
    <rPh sb="2" eb="4">
      <t>ショトク</t>
    </rPh>
    <rPh sb="5" eb="6">
      <t>ニン</t>
    </rPh>
    <rPh sb="6" eb="7">
      <t>メ</t>
    </rPh>
    <phoneticPr fontId="2"/>
  </si>
  <si>
    <t>給与所得４人目</t>
    <rPh sb="0" eb="2">
      <t>キュウヨ</t>
    </rPh>
    <rPh sb="2" eb="4">
      <t>ショトク</t>
    </rPh>
    <rPh sb="5" eb="6">
      <t>ニン</t>
    </rPh>
    <rPh sb="6" eb="7">
      <t>メ</t>
    </rPh>
    <phoneticPr fontId="2"/>
  </si>
  <si>
    <t>給与所得５人目</t>
    <rPh sb="0" eb="2">
      <t>キュウヨ</t>
    </rPh>
    <rPh sb="2" eb="4">
      <t>ショトク</t>
    </rPh>
    <rPh sb="5" eb="6">
      <t>ニン</t>
    </rPh>
    <rPh sb="6" eb="7">
      <t>メ</t>
    </rPh>
    <phoneticPr fontId="2"/>
  </si>
  <si>
    <t>計算テーブル</t>
    <rPh sb="0" eb="2">
      <t>ケイサン</t>
    </rPh>
    <phoneticPr fontId="2"/>
  </si>
  <si>
    <t>給与収入金額</t>
    <rPh sb="0" eb="2">
      <t>キュウヨ</t>
    </rPh>
    <rPh sb="2" eb="4">
      <t>シュウニュウ</t>
    </rPh>
    <rPh sb="4" eb="6">
      <t>キンガク</t>
    </rPh>
    <phoneticPr fontId="2"/>
  </si>
  <si>
    <t>給与所得（下表で計算済）</t>
    <rPh sb="0" eb="2">
      <t>キュウヨ</t>
    </rPh>
    <rPh sb="2" eb="4">
      <t>ショトク</t>
    </rPh>
    <rPh sb="5" eb="7">
      <t>カヒョウ</t>
    </rPh>
    <rPh sb="8" eb="10">
      <t>ケイサン</t>
    </rPh>
    <rPh sb="10" eb="11">
      <t>ズ</t>
    </rPh>
    <phoneticPr fontId="2"/>
  </si>
  <si>
    <t>年金所得１人目</t>
    <rPh sb="0" eb="2">
      <t>ネンキン</t>
    </rPh>
    <rPh sb="2" eb="4">
      <t>ショトク</t>
    </rPh>
    <rPh sb="5" eb="6">
      <t>ニン</t>
    </rPh>
    <rPh sb="6" eb="7">
      <t>メ</t>
    </rPh>
    <phoneticPr fontId="2"/>
  </si>
  <si>
    <t>年金所得２人目</t>
    <rPh sb="0" eb="2">
      <t>ネンキン</t>
    </rPh>
    <rPh sb="2" eb="4">
      <t>ショトク</t>
    </rPh>
    <rPh sb="5" eb="6">
      <t>ニン</t>
    </rPh>
    <rPh sb="6" eb="7">
      <t>メ</t>
    </rPh>
    <phoneticPr fontId="2"/>
  </si>
  <si>
    <t>年金所得３人目</t>
    <rPh sb="0" eb="2">
      <t>ネンキン</t>
    </rPh>
    <rPh sb="2" eb="4">
      <t>ショトク</t>
    </rPh>
    <rPh sb="5" eb="6">
      <t>ニン</t>
    </rPh>
    <rPh sb="6" eb="7">
      <t>メ</t>
    </rPh>
    <phoneticPr fontId="2"/>
  </si>
  <si>
    <t>年金所得４人目</t>
    <rPh sb="0" eb="2">
      <t>ネンキン</t>
    </rPh>
    <rPh sb="2" eb="4">
      <t>ショトク</t>
    </rPh>
    <rPh sb="5" eb="6">
      <t>ニン</t>
    </rPh>
    <rPh sb="6" eb="7">
      <t>メ</t>
    </rPh>
    <phoneticPr fontId="2"/>
  </si>
  <si>
    <t>年金所得５人目</t>
    <rPh sb="0" eb="2">
      <t>ネンキン</t>
    </rPh>
    <rPh sb="2" eb="4">
      <t>ショトク</t>
    </rPh>
    <rPh sb="5" eb="6">
      <t>ニン</t>
    </rPh>
    <rPh sb="6" eb="7">
      <t>メ</t>
    </rPh>
    <phoneticPr fontId="2"/>
  </si>
  <si>
    <t>（左が高齢の場合</t>
    <rPh sb="1" eb="2">
      <t>ヒダリ</t>
    </rPh>
    <rPh sb="3" eb="5">
      <t>コウレイ</t>
    </rPh>
    <rPh sb="6" eb="8">
      <t>バアイ</t>
    </rPh>
    <phoneticPr fontId="2"/>
  </si>
  <si>
    <t>　右が中齢の場合）</t>
    <rPh sb="1" eb="2">
      <t>ミギ</t>
    </rPh>
    <rPh sb="3" eb="4">
      <t>チュウ</t>
    </rPh>
    <rPh sb="4" eb="5">
      <t>トシ</t>
    </rPh>
    <rPh sb="6" eb="8">
      <t>バアイ</t>
    </rPh>
    <phoneticPr fontId="2"/>
  </si>
  <si>
    <t>高齢か中齢か</t>
    <rPh sb="0" eb="2">
      <t>コウレイ</t>
    </rPh>
    <rPh sb="3" eb="4">
      <t>チュウ</t>
    </rPh>
    <rPh sb="4" eb="5">
      <t>トシ</t>
    </rPh>
    <phoneticPr fontId="2"/>
  </si>
  <si>
    <t>年金収入</t>
    <rPh sb="0" eb="2">
      <t>ネンキン</t>
    </rPh>
    <rPh sb="2" eb="4">
      <t>シュウニュウ</t>
    </rPh>
    <phoneticPr fontId="2"/>
  </si>
  <si>
    <t>年金所得（下表で計算済）</t>
    <rPh sb="0" eb="2">
      <t>ネンキン</t>
    </rPh>
    <rPh sb="2" eb="4">
      <t>ショトク</t>
    </rPh>
    <rPh sb="5" eb="7">
      <t>カヒョウ</t>
    </rPh>
    <rPh sb="8" eb="10">
      <t>ケイサン</t>
    </rPh>
    <rPh sb="10" eb="11">
      <t>ズ</t>
    </rPh>
    <phoneticPr fontId="2"/>
  </si>
  <si>
    <t>年金所得（マイナスは０）</t>
    <rPh sb="0" eb="2">
      <t>ネンキン</t>
    </rPh>
    <rPh sb="2" eb="4">
      <t>ショトク</t>
    </rPh>
    <phoneticPr fontId="2"/>
  </si>
  <si>
    <t>何月から加入</t>
    <rPh sb="0" eb="2">
      <t>ナンガツ</t>
    </rPh>
    <rPh sb="4" eb="6">
      <t>カニュウ</t>
    </rPh>
    <phoneticPr fontId="2"/>
  </si>
  <si>
    <t>何か月分になる</t>
    <rPh sb="0" eb="1">
      <t>ナン</t>
    </rPh>
    <rPh sb="2" eb="4">
      <t>ゲツブン</t>
    </rPh>
    <phoneticPr fontId="2"/>
  </si>
  <si>
    <t>支払いは何月から</t>
    <rPh sb="0" eb="2">
      <t>シハラ</t>
    </rPh>
    <rPh sb="4" eb="6">
      <t>ナンガツ</t>
    </rPh>
    <phoneticPr fontId="2"/>
  </si>
  <si>
    <t>介護分所得割の計算</t>
    <rPh sb="0" eb="2">
      <t>カイゴ</t>
    </rPh>
    <rPh sb="2" eb="3">
      <t>ブン</t>
    </rPh>
    <rPh sb="3" eb="5">
      <t>ショトク</t>
    </rPh>
    <rPh sb="5" eb="6">
      <t>ワリ</t>
    </rPh>
    <rPh sb="7" eb="9">
      <t>ケイサン</t>
    </rPh>
    <phoneticPr fontId="2"/>
  </si>
  <si>
    <t>年齢区分のためのリスト</t>
    <rPh sb="0" eb="2">
      <t>ネンレイ</t>
    </rPh>
    <rPh sb="2" eb="4">
      <t>クブン</t>
    </rPh>
    <phoneticPr fontId="2"/>
  </si>
  <si>
    <t>何回払い</t>
    <rPh sb="0" eb="2">
      <t>ナンカイ</t>
    </rPh>
    <rPh sb="2" eb="3">
      <t>バラ</t>
    </rPh>
    <phoneticPr fontId="2"/>
  </si>
  <si>
    <t>（支払いの次の月）</t>
    <rPh sb="1" eb="3">
      <t>シハラ</t>
    </rPh>
    <rPh sb="5" eb="6">
      <t>ツギ</t>
    </rPh>
    <rPh sb="7" eb="8">
      <t>ツキ</t>
    </rPh>
    <phoneticPr fontId="2"/>
  </si>
  <si>
    <t>(3月)</t>
    <rPh sb="2" eb="3">
      <t>ガツ</t>
    </rPh>
    <phoneticPr fontId="2"/>
  </si>
  <si>
    <t>基礎控除（○○円以下）</t>
    <rPh sb="0" eb="4">
      <t>キソコウジョ</t>
    </rPh>
    <rPh sb="7" eb="8">
      <t>エン</t>
    </rPh>
    <rPh sb="8" eb="10">
      <t>イカ</t>
    </rPh>
    <phoneticPr fontId="2"/>
  </si>
  <si>
    <t>総所得金額</t>
    <rPh sb="0" eb="3">
      <t>ソウショトク</t>
    </rPh>
    <rPh sb="3" eb="5">
      <t>キンガク</t>
    </rPh>
    <phoneticPr fontId="2"/>
  </si>
  <si>
    <t>基礎控除金額</t>
    <rPh sb="0" eb="2">
      <t>キソ</t>
    </rPh>
    <rPh sb="2" eb="4">
      <t>コウジョ</t>
    </rPh>
    <rPh sb="4" eb="6">
      <t>キンガク</t>
    </rPh>
    <phoneticPr fontId="2"/>
  </si>
  <si>
    <t>当該年度の基礎控除の表（データセルより）</t>
    <rPh sb="0" eb="2">
      <t>トウガイ</t>
    </rPh>
    <rPh sb="2" eb="4">
      <t>ネンド</t>
    </rPh>
    <rPh sb="5" eb="7">
      <t>キソ</t>
    </rPh>
    <rPh sb="7" eb="9">
      <t>コウジョ</t>
    </rPh>
    <rPh sb="10" eb="11">
      <t>ヒョウ</t>
    </rPh>
    <phoneticPr fontId="2"/>
  </si>
  <si>
    <t>基礎控除後の基準総所得金額</t>
    <rPh sb="0" eb="2">
      <t>キソ</t>
    </rPh>
    <rPh sb="2" eb="4">
      <t>コウジョ</t>
    </rPh>
    <rPh sb="4" eb="5">
      <t>ゴ</t>
    </rPh>
    <rPh sb="6" eb="8">
      <t>キジュン</t>
    </rPh>
    <rPh sb="8" eb="11">
      <t>ソウショトク</t>
    </rPh>
    <rPh sb="11" eb="13">
      <t>キンガク</t>
    </rPh>
    <phoneticPr fontId="2"/>
  </si>
  <si>
    <t>　　令和２年度までは給与所得控除、公的年金所得控除等の金額が異なるため</t>
    <rPh sb="2" eb="4">
      <t>レイワ</t>
    </rPh>
    <rPh sb="5" eb="7">
      <t>ネンド</t>
    </rPh>
    <rPh sb="10" eb="12">
      <t>キュウヨ</t>
    </rPh>
    <rPh sb="12" eb="14">
      <t>ショトク</t>
    </rPh>
    <rPh sb="14" eb="16">
      <t>コウジョ</t>
    </rPh>
    <rPh sb="17" eb="19">
      <t>コウテキ</t>
    </rPh>
    <rPh sb="19" eb="21">
      <t>ネンキン</t>
    </rPh>
    <rPh sb="21" eb="23">
      <t>ショトク</t>
    </rPh>
    <rPh sb="23" eb="25">
      <t>コウジョ</t>
    </rPh>
    <rPh sb="25" eb="26">
      <t>トウ</t>
    </rPh>
    <rPh sb="27" eb="29">
      <t>キンガク</t>
    </rPh>
    <rPh sb="30" eb="31">
      <t>コト</t>
    </rPh>
    <phoneticPr fontId="2"/>
  </si>
  <si>
    <t>　　別エクセルです。</t>
    <rPh sb="2" eb="3">
      <t>ベツ</t>
    </rPh>
    <phoneticPr fontId="2"/>
  </si>
  <si>
    <r>
      <rPr>
        <sz val="8"/>
        <rFont val="ＭＳ Ｐゴシック"/>
        <family val="3"/>
        <charset val="128"/>
      </rPr>
      <t>給与＋年金</t>
    </r>
    <r>
      <rPr>
        <sz val="6"/>
        <rFont val="ＭＳ Ｐゴシック"/>
        <family val="3"/>
        <charset val="128"/>
      </rPr>
      <t>（MAX10万ずつ）</t>
    </r>
    <rPh sb="0" eb="2">
      <t>キュウヨ</t>
    </rPh>
    <rPh sb="3" eb="5">
      <t>ネンキン</t>
    </rPh>
    <rPh sb="11" eb="12">
      <t>マン</t>
    </rPh>
    <phoneticPr fontId="2"/>
  </si>
  <si>
    <r>
      <t>年金所得</t>
    </r>
    <r>
      <rPr>
        <sz val="9"/>
        <rFont val="ＭＳ Ｐゴシック"/>
        <family val="3"/>
        <charset val="128"/>
      </rPr>
      <t>（所得調整後）</t>
    </r>
    <rPh sb="0" eb="4">
      <t>ネンキンショトク</t>
    </rPh>
    <rPh sb="5" eb="7">
      <t>ショトク</t>
    </rPh>
    <rPh sb="7" eb="10">
      <t>チョウセイゴ</t>
    </rPh>
    <phoneticPr fontId="2"/>
  </si>
  <si>
    <t>子ども、障害系の所得金額調整控除</t>
    <rPh sb="0" eb="1">
      <t>コ</t>
    </rPh>
    <rPh sb="4" eb="6">
      <t>ショウガイ</t>
    </rPh>
    <rPh sb="6" eb="7">
      <t>ケイ</t>
    </rPh>
    <rPh sb="8" eb="10">
      <t>ショトク</t>
    </rPh>
    <rPh sb="10" eb="12">
      <t>キンガク</t>
    </rPh>
    <rPh sb="12" eb="14">
      <t>チョウセイ</t>
    </rPh>
    <rPh sb="14" eb="16">
      <t>コウジョ</t>
    </rPh>
    <phoneticPr fontId="2"/>
  </si>
  <si>
    <t>給与＋年金の所得金額調整控除</t>
    <rPh sb="0" eb="2">
      <t>キュウヨ</t>
    </rPh>
    <rPh sb="3" eb="5">
      <t>ネンキン</t>
    </rPh>
    <rPh sb="6" eb="8">
      <t>ショトク</t>
    </rPh>
    <rPh sb="8" eb="10">
      <t>キンガク</t>
    </rPh>
    <rPh sb="10" eb="12">
      <t>チョウセイ</t>
    </rPh>
    <rPh sb="12" eb="14">
      <t>コウジョ</t>
    </rPh>
    <phoneticPr fontId="2"/>
  </si>
  <si>
    <r>
      <t>給与所得</t>
    </r>
    <r>
      <rPr>
        <sz val="10"/>
        <rFont val="ＭＳ Ｐゴシック"/>
        <family val="3"/>
        <charset val="128"/>
      </rPr>
      <t>（確定！）</t>
    </r>
    <rPh sb="0" eb="2">
      <t>キュウヨ</t>
    </rPh>
    <rPh sb="2" eb="4">
      <t>ショトク</t>
    </rPh>
    <rPh sb="5" eb="7">
      <t>カクテイ</t>
    </rPh>
    <phoneticPr fontId="2"/>
  </si>
  <si>
    <r>
      <rPr>
        <sz val="8"/>
        <rFont val="ＭＳ Ｐゴシック"/>
        <family val="3"/>
        <charset val="128"/>
      </rPr>
      <t>給与所得</t>
    </r>
    <r>
      <rPr>
        <sz val="6"/>
        <rFont val="ＭＳ Ｐゴシック"/>
        <family val="3"/>
        <charset val="128"/>
      </rPr>
      <t>（マイナスは０に）</t>
    </r>
    <rPh sb="0" eb="2">
      <t>キュウヨ</t>
    </rPh>
    <rPh sb="2" eb="4">
      <t>ショトク</t>
    </rPh>
    <phoneticPr fontId="2"/>
  </si>
  <si>
    <t>マイナスする給与所得額</t>
    <rPh sb="6" eb="8">
      <t>キュウヨ</t>
    </rPh>
    <rPh sb="8" eb="10">
      <t>ショトク</t>
    </rPh>
    <rPh sb="10" eb="11">
      <t>ガク</t>
    </rPh>
    <phoneticPr fontId="2"/>
  </si>
  <si>
    <t>１人につき</t>
    <rPh sb="1" eb="2">
      <t>ヒト</t>
    </rPh>
    <phoneticPr fontId="2"/>
  </si>
  <si>
    <t>要</t>
    <rPh sb="0" eb="1">
      <t>ヨウ</t>
    </rPh>
    <phoneticPr fontId="2"/>
  </si>
  <si>
    <t>平等割額</t>
    <rPh sb="0" eb="2">
      <t>ビョウドウ</t>
    </rPh>
    <rPh sb="2" eb="3">
      <t>ワリ</t>
    </rPh>
    <rPh sb="3" eb="4">
      <t>ガク</t>
    </rPh>
    <phoneticPr fontId="2"/>
  </si>
  <si>
    <t>１世帯につき</t>
    <rPh sb="1" eb="3">
      <t>セタイ</t>
    </rPh>
    <phoneticPr fontId="2"/>
  </si>
  <si>
    <t>40歳未満</t>
    <phoneticPr fontId="2"/>
  </si>
  <si>
    <t>未就学児</t>
    <rPh sb="0" eb="4">
      <t>ミシュウガクジ</t>
    </rPh>
    <phoneticPr fontId="2"/>
  </si>
  <si>
    <t>　　未就学児の均等割半額について、令和４年度から適用のため、年度のG2に</t>
    <rPh sb="2" eb="6">
      <t>ミシュウガクジ</t>
    </rPh>
    <rPh sb="7" eb="10">
      <t>キントウワリ</t>
    </rPh>
    <rPh sb="10" eb="12">
      <t>ハンガク</t>
    </rPh>
    <rPh sb="17" eb="19">
      <t>レイワ</t>
    </rPh>
    <rPh sb="20" eb="22">
      <t>ネンド</t>
    </rPh>
    <rPh sb="24" eb="26">
      <t>テキヨウ</t>
    </rPh>
    <rPh sb="30" eb="32">
      <t>ネンド</t>
    </rPh>
    <phoneticPr fontId="2"/>
  </si>
  <si>
    <t>　　「３」を入力すると均等割が半額にならないようにIF関数で指定してあります。</t>
    <rPh sb="11" eb="14">
      <t>キントウワリ</t>
    </rPh>
    <rPh sb="15" eb="17">
      <t>ハンガク</t>
    </rPh>
    <rPh sb="27" eb="29">
      <t>カンスウ</t>
    </rPh>
    <rPh sb="30" eb="32">
      <t>シテイ</t>
    </rPh>
    <phoneticPr fontId="2"/>
  </si>
  <si>
    <t>　　（N14,N15セル）元号が変わる際はIF条件を削除してください。</t>
    <rPh sb="13" eb="15">
      <t>ゲンゴウ</t>
    </rPh>
    <rPh sb="16" eb="17">
      <t>カ</t>
    </rPh>
    <rPh sb="19" eb="20">
      <t>サイ</t>
    </rPh>
    <rPh sb="23" eb="25">
      <t>ジョウケン</t>
    </rPh>
    <rPh sb="26" eb="28">
      <t>サクジョ</t>
    </rPh>
    <phoneticPr fontId="2"/>
  </si>
  <si>
    <t>　　「７」を入力すると均等割が免除にならないようにIF関数で指定してあります。</t>
    <rPh sb="11" eb="14">
      <t>キントウワリ</t>
    </rPh>
    <rPh sb="15" eb="17">
      <t>メンジョ</t>
    </rPh>
    <rPh sb="27" eb="29">
      <t>カンスウ</t>
    </rPh>
    <rPh sb="30" eb="32">
      <t>シテイ</t>
    </rPh>
    <phoneticPr fontId="2"/>
  </si>
  <si>
    <t>給与所得2人目</t>
    <rPh sb="0" eb="2">
      <t>キュウヨ</t>
    </rPh>
    <rPh sb="2" eb="4">
      <t>ショトク</t>
    </rPh>
    <rPh sb="5" eb="6">
      <t>ニン</t>
    </rPh>
    <rPh sb="6" eb="7">
      <t>メ</t>
    </rPh>
    <phoneticPr fontId="2"/>
  </si>
  <si>
    <t>給与所得3人目</t>
    <rPh sb="0" eb="2">
      <t>キュウヨ</t>
    </rPh>
    <rPh sb="2" eb="4">
      <t>ショトク</t>
    </rPh>
    <rPh sb="5" eb="6">
      <t>ニン</t>
    </rPh>
    <rPh sb="6" eb="7">
      <t>メ</t>
    </rPh>
    <phoneticPr fontId="2"/>
  </si>
  <si>
    <t>給与所得4人目</t>
    <rPh sb="0" eb="2">
      <t>キュウヨ</t>
    </rPh>
    <rPh sb="2" eb="4">
      <t>ショトク</t>
    </rPh>
    <rPh sb="5" eb="6">
      <t>ニン</t>
    </rPh>
    <rPh sb="6" eb="7">
      <t>メ</t>
    </rPh>
    <phoneticPr fontId="2"/>
  </si>
  <si>
    <t>給与所得5人目</t>
    <rPh sb="0" eb="2">
      <t>キュウヨ</t>
    </rPh>
    <rPh sb="2" eb="4">
      <t>ショトク</t>
    </rPh>
    <rPh sb="5" eb="6">
      <t>ニン</t>
    </rPh>
    <rPh sb="6" eb="7">
      <t>メ</t>
    </rPh>
    <phoneticPr fontId="2"/>
  </si>
  <si>
    <t>未就学児の人数</t>
    <rPh sb="0" eb="4">
      <t>ミシュウガクジ</t>
    </rPh>
    <rPh sb="5" eb="6">
      <t>ヒト</t>
    </rPh>
    <rPh sb="6" eb="7">
      <t>スウ</t>
    </rPh>
    <phoneticPr fontId="2"/>
  </si>
  <si>
    <t>子ども分</t>
    <rPh sb="0" eb="1">
      <t>コ</t>
    </rPh>
    <rPh sb="3" eb="4">
      <t>ブン</t>
    </rPh>
    <phoneticPr fontId="2"/>
  </si>
  <si>
    <t>　　高校生以下の子ども分均等割免除について、令和８年度から適用のため、年度のG2に</t>
    <rPh sb="2" eb="5">
      <t>コウコウセイ</t>
    </rPh>
    <rPh sb="5" eb="7">
      <t>イカ</t>
    </rPh>
    <rPh sb="8" eb="9">
      <t>コ</t>
    </rPh>
    <rPh sb="11" eb="12">
      <t>ブン</t>
    </rPh>
    <rPh sb="12" eb="15">
      <t>キントウワリ</t>
    </rPh>
    <rPh sb="15" eb="17">
      <t>メンジョ</t>
    </rPh>
    <rPh sb="22" eb="24">
      <t>レイワ</t>
    </rPh>
    <rPh sb="25" eb="27">
      <t>ネンド</t>
    </rPh>
    <rPh sb="29" eb="31">
      <t>テキヨウ</t>
    </rPh>
    <rPh sb="35" eb="37">
      <t>ネンド</t>
    </rPh>
    <phoneticPr fontId="2"/>
  </si>
  <si>
    <t>均等割（18歳以上均等割含む）</t>
    <rPh sb="0" eb="3">
      <t>キントウワリ</t>
    </rPh>
    <rPh sb="6" eb="9">
      <t>サイイジョウ</t>
    </rPh>
    <rPh sb="9" eb="12">
      <t>キントウワリ</t>
    </rPh>
    <rPh sb="12" eb="13">
      <t>フク</t>
    </rPh>
    <phoneticPr fontId="2"/>
  </si>
  <si>
    <t>◎国民健康保険税の試算</t>
    <rPh sb="1" eb="3">
      <t>コクミン</t>
    </rPh>
    <rPh sb="3" eb="5">
      <t>ケンコウ</t>
    </rPh>
    <rPh sb="5" eb="7">
      <t>ホケン</t>
    </rPh>
    <rPh sb="7" eb="8">
      <t>ゼイ</t>
    </rPh>
    <rPh sb="9" eb="11">
      <t>シサン</t>
    </rPh>
    <phoneticPr fontId="2"/>
  </si>
  <si>
    <t>【用意するもの】令和7年中の所得の分かるもの（確定申告の控え、源泉徴収票等）</t>
    <rPh sb="8" eb="10">
      <t>レイワ</t>
    </rPh>
    <phoneticPr fontId="2"/>
  </si>
  <si>
    <t>国保加入者それぞれの前年中の収入又は所得を入力してください。</t>
    <rPh sb="0" eb="2">
      <t>コクホ</t>
    </rPh>
    <rPh sb="2" eb="5">
      <t>カニュウシャ</t>
    </rPh>
    <rPh sb="10" eb="12">
      <t>ゼンネン</t>
    </rPh>
    <rPh sb="12" eb="13">
      <t>チュウ</t>
    </rPh>
    <rPh sb="14" eb="16">
      <t>シュウニュウ</t>
    </rPh>
    <rPh sb="16" eb="17">
      <t>マタ</t>
    </rPh>
    <rPh sb="18" eb="20">
      <t>ショトク</t>
    </rPh>
    <rPh sb="21" eb="23">
      <t>ニュウリョク</t>
    </rPh>
    <phoneticPr fontId="2"/>
  </si>
  <si>
    <r>
      <t>確定申告をされた方は下の欄の②に所得金額等「合計」を入力してください。</t>
    </r>
    <r>
      <rPr>
        <sz val="11"/>
        <color indexed="10"/>
        <rFont val="ＭＳ Ｐゴシック"/>
        <family val="3"/>
        <charset val="128"/>
      </rPr>
      <t>（他の欄に入力する必要はありません。）</t>
    </r>
    <r>
      <rPr>
        <sz val="11"/>
        <rFont val="ＭＳ Ｐゴシック"/>
        <family val="3"/>
        <charset val="128"/>
      </rPr>
      <t>＊</t>
    </r>
    <r>
      <rPr>
        <sz val="11"/>
        <rFont val="ＭＳ Ｐゴシック"/>
        <family val="3"/>
        <charset val="128"/>
      </rPr>
      <t>「課税される所得金額」ではありません。</t>
    </r>
    <rPh sb="0" eb="2">
      <t>カクテイ</t>
    </rPh>
    <rPh sb="2" eb="4">
      <t>シンコク</t>
    </rPh>
    <rPh sb="8" eb="9">
      <t>カタ</t>
    </rPh>
    <rPh sb="10" eb="11">
      <t>シタ</t>
    </rPh>
    <rPh sb="12" eb="13">
      <t>ラン</t>
    </rPh>
    <rPh sb="16" eb="18">
      <t>ショトク</t>
    </rPh>
    <rPh sb="18" eb="20">
      <t>キンガク</t>
    </rPh>
    <rPh sb="20" eb="21">
      <t>トウ</t>
    </rPh>
    <rPh sb="22" eb="24">
      <t>ゴウケイ</t>
    </rPh>
    <rPh sb="26" eb="28">
      <t>ニュウリョク</t>
    </rPh>
    <rPh sb="36" eb="37">
      <t>ホカ</t>
    </rPh>
    <rPh sb="38" eb="39">
      <t>ラン</t>
    </rPh>
    <rPh sb="40" eb="42">
      <t>ニュウリョク</t>
    </rPh>
    <rPh sb="44" eb="46">
      <t>ヒツヨウ</t>
    </rPh>
    <rPh sb="56" eb="58">
      <t>カゼイ</t>
    </rPh>
    <rPh sb="61" eb="63">
      <t>ショトク</t>
    </rPh>
    <rPh sb="63" eb="65">
      <t>キンガク</t>
    </rPh>
    <phoneticPr fontId="2"/>
  </si>
  <si>
    <t>給与収入のあった方は③に入力してください。（源泉徴収票をお持ちの方は支払金額を入力してください。）</t>
    <rPh sb="0" eb="2">
      <t>キュウヨ</t>
    </rPh>
    <rPh sb="2" eb="4">
      <t>シュウニュウ</t>
    </rPh>
    <rPh sb="8" eb="9">
      <t>カタ</t>
    </rPh>
    <rPh sb="12" eb="14">
      <t>ニュウリョク</t>
    </rPh>
    <rPh sb="22" eb="24">
      <t>ゲンセン</t>
    </rPh>
    <rPh sb="24" eb="26">
      <t>チョウシュウ</t>
    </rPh>
    <rPh sb="26" eb="27">
      <t>ヒョウ</t>
    </rPh>
    <rPh sb="29" eb="30">
      <t>モ</t>
    </rPh>
    <rPh sb="32" eb="33">
      <t>カタ</t>
    </rPh>
    <rPh sb="34" eb="36">
      <t>シハラ</t>
    </rPh>
    <rPh sb="36" eb="38">
      <t>キンガク</t>
    </rPh>
    <rPh sb="39" eb="41">
      <t>ニュウリョク</t>
    </rPh>
    <phoneticPr fontId="2"/>
  </si>
  <si>
    <t>　 公的年金の収入のあった方は④に入力してください。（源泉徴収票をお持ちの方は支払金額を入力してください。）＊遺族年金、障害年金は除いてください。 
   ②③④以外の所得があった方は、⑤に入力してください。</t>
    <rPh sb="2" eb="4">
      <t>コウテキ</t>
    </rPh>
    <rPh sb="4" eb="6">
      <t>ネンキン</t>
    </rPh>
    <rPh sb="7" eb="9">
      <t>シュウニュウ</t>
    </rPh>
    <rPh sb="13" eb="14">
      <t>カタ</t>
    </rPh>
    <rPh sb="17" eb="19">
      <t>ニュウリョク</t>
    </rPh>
    <rPh sb="27" eb="29">
      <t>ゲンセン</t>
    </rPh>
    <rPh sb="29" eb="31">
      <t>チョウシュウ</t>
    </rPh>
    <rPh sb="31" eb="32">
      <t>ヒョウ</t>
    </rPh>
    <rPh sb="34" eb="35">
      <t>モ</t>
    </rPh>
    <rPh sb="37" eb="38">
      <t>カタ</t>
    </rPh>
    <rPh sb="39" eb="41">
      <t>シハラ</t>
    </rPh>
    <rPh sb="41" eb="43">
      <t>キンガク</t>
    </rPh>
    <rPh sb="44" eb="46">
      <t>ニュウリョク</t>
    </rPh>
    <rPh sb="55" eb="57">
      <t>イゾク</t>
    </rPh>
    <rPh sb="57" eb="59">
      <t>ネンキン</t>
    </rPh>
    <rPh sb="60" eb="62">
      <t>ショウガイ</t>
    </rPh>
    <rPh sb="62" eb="64">
      <t>ネンキン</t>
    </rPh>
    <rPh sb="65" eb="66">
      <t>ノゾ</t>
    </rPh>
    <phoneticPr fontId="2"/>
  </si>
  <si>
    <t>※確定申告書第三表がある方の保険税については、お問い合わせください。</t>
    <rPh sb="1" eb="3">
      <t>カクテイ</t>
    </rPh>
    <rPh sb="3" eb="5">
      <t>シンコク</t>
    </rPh>
    <rPh sb="5" eb="6">
      <t>ショ</t>
    </rPh>
    <rPh sb="6" eb="7">
      <t>ダイ</t>
    </rPh>
    <rPh sb="7" eb="9">
      <t>サンヒョウ</t>
    </rPh>
    <rPh sb="12" eb="13">
      <t>カタ</t>
    </rPh>
    <rPh sb="14" eb="16">
      <t>ホケン</t>
    </rPh>
    <rPh sb="16" eb="17">
      <t>ゼイ</t>
    </rPh>
    <rPh sb="24" eb="25">
      <t>ト</t>
    </rPh>
    <rPh sb="26" eb="27">
      <t>ア</t>
    </rPh>
    <phoneticPr fontId="2"/>
  </si>
  <si>
    <t>年税額及び１か月当たりの税額が算出されます。</t>
    <rPh sb="0" eb="3">
      <t>ネンゼイガク</t>
    </rPh>
    <rPh sb="3" eb="4">
      <t>オヨ</t>
    </rPh>
    <rPh sb="7" eb="8">
      <t>ゲツ</t>
    </rPh>
    <rPh sb="8" eb="9">
      <t>ア</t>
    </rPh>
    <rPh sb="12" eb="14">
      <t>ゼイガク</t>
    </rPh>
    <rPh sb="15" eb="17">
      <t>サンシュツ</t>
    </rPh>
    <phoneticPr fontId="2"/>
  </si>
  <si>
    <t>下記の計算式以外で、世帯構成や総所得金額等に応じて保険税が軽減・減免されることがあります。</t>
    <rPh sb="0" eb="2">
      <t>カキ</t>
    </rPh>
    <rPh sb="3" eb="6">
      <t>ケイサンシキ</t>
    </rPh>
    <rPh sb="6" eb="8">
      <t>イガイ</t>
    </rPh>
    <rPh sb="10" eb="12">
      <t>セタイ</t>
    </rPh>
    <rPh sb="12" eb="14">
      <t>コウセイ</t>
    </rPh>
    <rPh sb="15" eb="18">
      <t>ソウショトク</t>
    </rPh>
    <rPh sb="18" eb="20">
      <t>キンガク</t>
    </rPh>
    <rPh sb="20" eb="21">
      <t>トウ</t>
    </rPh>
    <rPh sb="22" eb="23">
      <t>オウ</t>
    </rPh>
    <rPh sb="25" eb="27">
      <t>ホケン</t>
    </rPh>
    <rPh sb="27" eb="28">
      <t>ゼイ</t>
    </rPh>
    <rPh sb="29" eb="31">
      <t>ケイゲン</t>
    </rPh>
    <rPh sb="32" eb="34">
      <t>ゲンメン</t>
    </rPh>
    <phoneticPr fontId="2"/>
  </si>
  <si>
    <t>【注意】</t>
  </si>
  <si>
    <t>年税額（４月～翌年３月分）</t>
    <rPh sb="11" eb="12">
      <t>ブン</t>
    </rPh>
    <phoneticPr fontId="2"/>
  </si>
  <si>
    <t>（12ヶ月分）</t>
    <rPh sb="4" eb="5">
      <t>ゲツ</t>
    </rPh>
    <rPh sb="5" eb="6">
      <t>ブン</t>
    </rPh>
    <phoneticPr fontId="2"/>
  </si>
  <si>
    <t>計算結果は概算となります。実際の税額とは異なる場合があります。</t>
    <rPh sb="0" eb="2">
      <t>ケイサン</t>
    </rPh>
    <rPh sb="2" eb="4">
      <t>ケッカ</t>
    </rPh>
    <rPh sb="5" eb="7">
      <t>ガイサン</t>
    </rPh>
    <rPh sb="13" eb="15">
      <t>ジッサイ</t>
    </rPh>
    <rPh sb="16" eb="18">
      <t>ゼイガク</t>
    </rPh>
    <rPh sb="20" eb="21">
      <t>コト</t>
    </rPh>
    <rPh sb="23" eb="25">
      <t>バアイ</t>
    </rPh>
    <phoneticPr fontId="2"/>
  </si>
  <si>
    <t>特に次に該当する場合は、試算結果と実際の保険税が大きく異なることがあります。</t>
    <rPh sb="0" eb="1">
      <t>トク</t>
    </rPh>
    <rPh sb="2" eb="3">
      <t>ツギ</t>
    </rPh>
    <rPh sb="4" eb="6">
      <t>ガイトウ</t>
    </rPh>
    <rPh sb="8" eb="10">
      <t>バアイ</t>
    </rPh>
    <rPh sb="12" eb="14">
      <t>シサン</t>
    </rPh>
    <rPh sb="14" eb="16">
      <t>ケッカ</t>
    </rPh>
    <rPh sb="17" eb="19">
      <t>ジッサイ</t>
    </rPh>
    <rPh sb="20" eb="22">
      <t>ホケン</t>
    </rPh>
    <rPh sb="22" eb="23">
      <t>ゼイ</t>
    </rPh>
    <rPh sb="24" eb="25">
      <t>オオ</t>
    </rPh>
    <rPh sb="27" eb="28">
      <t>コト</t>
    </rPh>
    <phoneticPr fontId="2"/>
  </si>
  <si>
    <t>１ヶ月あたりの保険税額</t>
    <rPh sb="2" eb="3">
      <t>ゲツ</t>
    </rPh>
    <rPh sb="7" eb="9">
      <t>ホケン</t>
    </rPh>
    <rPh sb="9" eb="10">
      <t>ゼイ</t>
    </rPh>
    <rPh sb="10" eb="11">
      <t>ガク</t>
    </rPh>
    <phoneticPr fontId="2"/>
  </si>
  <si>
    <t>・年度（4月から翌年3月まで）の途中で40歳、65歳、75歳に到達する方がいる。</t>
    <rPh sb="5" eb="6">
      <t>ガツ</t>
    </rPh>
    <rPh sb="8" eb="9">
      <t>ヨク</t>
    </rPh>
    <rPh sb="9" eb="10">
      <t>ネン</t>
    </rPh>
    <rPh sb="11" eb="12">
      <t>ガツ</t>
    </rPh>
    <rPh sb="29" eb="30">
      <t>サイ</t>
    </rPh>
    <rPh sb="31" eb="33">
      <t>トウタツ</t>
    </rPh>
    <rPh sb="35" eb="36">
      <t>カタ</t>
    </rPh>
    <phoneticPr fontId="2"/>
  </si>
  <si>
    <t>・年度（4月から翌年3月まで）の途中で国民健康保険に加入・脱退する方がいる。</t>
    <rPh sb="5" eb="6">
      <t>ガツ</t>
    </rPh>
    <rPh sb="8" eb="9">
      <t>ヨク</t>
    </rPh>
    <rPh sb="9" eb="10">
      <t>ネン</t>
    </rPh>
    <rPh sb="11" eb="12">
      <t>ガツ</t>
    </rPh>
    <rPh sb="19" eb="25">
      <t>コクミンケンコウホケン</t>
    </rPh>
    <rPh sb="26" eb="28">
      <t>カニュウ</t>
    </rPh>
    <rPh sb="29" eb="31">
      <t>ダッタイ</t>
    </rPh>
    <rPh sb="33" eb="34">
      <t>カタ</t>
    </rPh>
    <phoneticPr fontId="2"/>
  </si>
  <si>
    <t>・世帯内に後期高齢者医療保険に加入している方がいる。</t>
    <rPh sb="1" eb="3">
      <t>セタイ</t>
    </rPh>
    <rPh sb="3" eb="4">
      <t>ナイ</t>
    </rPh>
    <rPh sb="5" eb="7">
      <t>コウキ</t>
    </rPh>
    <rPh sb="7" eb="9">
      <t>コウレイ</t>
    </rPh>
    <rPh sb="9" eb="10">
      <t>シャ</t>
    </rPh>
    <rPh sb="10" eb="12">
      <t>イリョウ</t>
    </rPh>
    <rPh sb="12" eb="14">
      <t>ホケン</t>
    </rPh>
    <rPh sb="15" eb="17">
      <t>カニュウ</t>
    </rPh>
    <rPh sb="21" eb="22">
      <t>カタ</t>
    </rPh>
    <phoneticPr fontId="2"/>
  </si>
  <si>
    <t>国保に</t>
    <rPh sb="0" eb="2">
      <t>コクホ</t>
    </rPh>
    <phoneticPr fontId="2"/>
  </si>
  <si>
    <t>から加入</t>
    <rPh sb="2" eb="4">
      <t>カニュウ</t>
    </rPh>
    <phoneticPr fontId="2"/>
  </si>
  <si>
    <t>・非自発的失業者である。</t>
    <rPh sb="1" eb="2">
      <t>ヒ</t>
    </rPh>
    <rPh sb="2" eb="5">
      <t>ジハツテキ</t>
    </rPh>
    <rPh sb="5" eb="8">
      <t>シツギョウシャ</t>
    </rPh>
    <phoneticPr fontId="2"/>
  </si>
  <si>
    <t>令和８年度分の保険税額</t>
    <rPh sb="0" eb="2">
      <t>レイワ</t>
    </rPh>
    <rPh sb="3" eb="5">
      <t>ネンド</t>
    </rPh>
    <rPh sb="5" eb="6">
      <t>ブン</t>
    </rPh>
    <rPh sb="7" eb="9">
      <t>ホケン</t>
    </rPh>
    <rPh sb="9" eb="10">
      <t>ゼイ</t>
    </rPh>
    <rPh sb="10" eb="11">
      <t>ガク</t>
    </rPh>
    <phoneticPr fontId="2"/>
  </si>
  <si>
    <t>①加入者の年齢区分</t>
    <rPh sb="1" eb="4">
      <t>カニュウシャ</t>
    </rPh>
    <rPh sb="5" eb="7">
      <t>ネンレイ</t>
    </rPh>
    <rPh sb="7" eb="9">
      <t>クブン</t>
    </rPh>
    <phoneticPr fontId="2"/>
  </si>
  <si>
    <t>②確定申告の所得</t>
    <rPh sb="1" eb="3">
      <t>カクテイ</t>
    </rPh>
    <rPh sb="3" eb="5">
      <t>シンコク</t>
    </rPh>
    <rPh sb="6" eb="8">
      <t>ショトク</t>
    </rPh>
    <phoneticPr fontId="2"/>
  </si>
  <si>
    <t>③給与収入</t>
    <rPh sb="1" eb="3">
      <t>キュウヨ</t>
    </rPh>
    <rPh sb="3" eb="5">
      <t>シュウニュウ</t>
    </rPh>
    <phoneticPr fontId="2"/>
  </si>
  <si>
    <t>④公的年金収入</t>
    <rPh sb="1" eb="3">
      <t>コウテキ</t>
    </rPh>
    <rPh sb="3" eb="5">
      <t>ネンキン</t>
    </rPh>
    <rPh sb="5" eb="7">
      <t>シュウニュウ</t>
    </rPh>
    <phoneticPr fontId="2"/>
  </si>
  <si>
    <t>⑤その他の所得</t>
    <rPh sb="3" eb="4">
      <t>ホカ</t>
    </rPh>
    <rPh sb="5" eb="7">
      <t>ショトク</t>
    </rPh>
    <phoneticPr fontId="2"/>
  </si>
  <si>
    <t>A</t>
    <phoneticPr fontId="2"/>
  </si>
  <si>
    <t>B</t>
    <phoneticPr fontId="2"/>
  </si>
  <si>
    <t>A×B＝C</t>
    <phoneticPr fontId="2"/>
  </si>
  <si>
    <t>D</t>
    <phoneticPr fontId="2"/>
  </si>
  <si>
    <t>E</t>
    <phoneticPr fontId="2"/>
  </si>
  <si>
    <t>D×E－★＝F</t>
    <phoneticPr fontId="2"/>
  </si>
  <si>
    <t>G</t>
    <phoneticPr fontId="2"/>
  </si>
  <si>
    <t>C＋F＋G</t>
    <phoneticPr fontId="2"/>
  </si>
  <si>
    <t>限度額</t>
    <rPh sb="0" eb="3">
      <t>ゲンドガク</t>
    </rPh>
    <phoneticPr fontId="2"/>
  </si>
  <si>
    <t>　　　　・本人が特別障がい者</t>
    <rPh sb="5" eb="7">
      <t>ホンニン</t>
    </rPh>
    <rPh sb="8" eb="11">
      <t>トクベツショウ</t>
    </rPh>
    <rPh sb="13" eb="14">
      <t>シャ</t>
    </rPh>
    <phoneticPr fontId="2"/>
  </si>
  <si>
    <t>　　　　・23歳未満の扶養親族がいる</t>
    <rPh sb="7" eb="10">
      <t>サイミマン</t>
    </rPh>
    <rPh sb="11" eb="13">
      <t>フヨウ</t>
    </rPh>
    <rPh sb="13" eb="15">
      <t>シンゾク</t>
    </rPh>
    <phoneticPr fontId="2"/>
  </si>
  <si>
    <t>　　　　・同一生計配偶者または扶養親族に特別障がい者がいる</t>
    <rPh sb="5" eb="7">
      <t>ドウイツ</t>
    </rPh>
    <rPh sb="7" eb="9">
      <t>セイケイ</t>
    </rPh>
    <rPh sb="9" eb="12">
      <t>ハイグウシャ</t>
    </rPh>
    <rPh sb="15" eb="17">
      <t>フヨウ</t>
    </rPh>
    <rPh sb="17" eb="19">
      <t>シンゾク</t>
    </rPh>
    <rPh sb="20" eb="23">
      <t>トクベツショウ</t>
    </rPh>
    <rPh sb="25" eb="26">
      <t>シャ</t>
    </rPh>
    <phoneticPr fontId="2"/>
  </si>
  <si>
    <t>加入月により年税額は変わります。加入される月を選ぶことにより、令和8年度に納めていただく保険税の概算が出ます。</t>
    <rPh sb="31" eb="33">
      <t>レイワ</t>
    </rPh>
    <phoneticPr fontId="2"/>
  </si>
  <si>
    <t>＊のためのリスト</t>
    <phoneticPr fontId="2"/>
  </si>
  <si>
    <t>*</t>
    <phoneticPr fontId="2"/>
  </si>
  <si>
    <t>**</t>
    <phoneticPr fontId="2"/>
  </si>
  <si>
    <t>１か月あたりの保険税額（年額÷12か月）と、各期の納付税額（年額÷支払期数）は異なります。詳しくは、市役所国保年金課までお問い合わせください。</t>
    <rPh sb="2" eb="3">
      <t>ツキ</t>
    </rPh>
    <rPh sb="7" eb="9">
      <t>ホケン</t>
    </rPh>
    <rPh sb="9" eb="10">
      <t>ゼイ</t>
    </rPh>
    <rPh sb="10" eb="11">
      <t>ガク</t>
    </rPh>
    <rPh sb="12" eb="14">
      <t>ネンガク</t>
    </rPh>
    <rPh sb="18" eb="19">
      <t>ゲツ</t>
    </rPh>
    <rPh sb="22" eb="23">
      <t>カク</t>
    </rPh>
    <rPh sb="23" eb="24">
      <t>キ</t>
    </rPh>
    <rPh sb="25" eb="27">
      <t>ノウフ</t>
    </rPh>
    <rPh sb="27" eb="29">
      <t>ゼイガク</t>
    </rPh>
    <rPh sb="30" eb="32">
      <t>ネンガク</t>
    </rPh>
    <rPh sb="33" eb="35">
      <t>シハラ</t>
    </rPh>
    <rPh sb="35" eb="37">
      <t>キスウ</t>
    </rPh>
    <rPh sb="39" eb="40">
      <t>コト</t>
    </rPh>
    <rPh sb="45" eb="46">
      <t>クワ</t>
    </rPh>
    <rPh sb="50" eb="53">
      <t>シヤクショ</t>
    </rPh>
    <rPh sb="53" eb="55">
      <t>コクホ</t>
    </rPh>
    <rPh sb="55" eb="57">
      <t>ネンキン</t>
    </rPh>
    <rPh sb="57" eb="58">
      <t>カ</t>
    </rPh>
    <rPh sb="61" eb="62">
      <t>ト</t>
    </rPh>
    <rPh sb="63" eb="64">
      <t>ア</t>
    </rPh>
    <phoneticPr fontId="2"/>
  </si>
  <si>
    <t>　↑給与収入850万超で、次の条件のいずれかに該当する方は「＊」を入力してください。</t>
    <rPh sb="2" eb="4">
      <t>キュウヨ</t>
    </rPh>
    <rPh sb="4" eb="6">
      <t>シュウニュウ</t>
    </rPh>
    <rPh sb="9" eb="10">
      <t>マン</t>
    </rPh>
    <rPh sb="10" eb="11">
      <t>チョウ</t>
    </rPh>
    <rPh sb="13" eb="14">
      <t>ツギ</t>
    </rPh>
    <rPh sb="15" eb="17">
      <t>ジョウケン</t>
    </rPh>
    <rPh sb="23" eb="25">
      <t>ガイトウ</t>
    </rPh>
    <rPh sb="27" eb="28">
      <t>カタ</t>
    </rPh>
    <rPh sb="33" eb="35">
      <t>ニュウリョク</t>
    </rPh>
    <phoneticPr fontId="2"/>
  </si>
  <si>
    <t>後期支援分</t>
    <rPh sb="0" eb="2">
      <t>コウキ</t>
    </rPh>
    <rPh sb="2" eb="4">
      <t>シエン</t>
    </rPh>
    <rPh sb="4" eb="5">
      <t>ブン</t>
    </rPh>
    <phoneticPr fontId="2"/>
  </si>
  <si>
    <t>子ども支援分</t>
    <rPh sb="0" eb="1">
      <t>コ</t>
    </rPh>
    <rPh sb="3" eb="5">
      <t>シエン</t>
    </rPh>
    <rPh sb="5" eb="6">
      <t>ブン</t>
    </rPh>
    <phoneticPr fontId="2"/>
  </si>
  <si>
    <t>・出産予定である（または出産した）。</t>
    <rPh sb="1" eb="3">
      <t>シュッサン</t>
    </rPh>
    <rPh sb="3" eb="5">
      <t>ヨテイ</t>
    </rPh>
    <rPh sb="12" eb="14">
      <t>シュッサン</t>
    </rPh>
    <phoneticPr fontId="2"/>
  </si>
  <si>
    <r>
      <t>40歳～6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歳</t>
    </r>
    <rPh sb="2" eb="3">
      <t>サイ</t>
    </rPh>
    <rPh sb="6" eb="7">
      <t>サイ</t>
    </rPh>
    <phoneticPr fontId="2"/>
  </si>
  <si>
    <t>小学生～高校生</t>
    <rPh sb="0" eb="3">
      <t>ショウガクセイ</t>
    </rPh>
    <rPh sb="4" eb="7">
      <t>コウコウセイ</t>
    </rPh>
    <phoneticPr fontId="2"/>
  </si>
  <si>
    <r>
      <t>国保加入者の年齢を、66歳以上、65歳、40歳～64歳、40歳未満、小学生～高校生、未就学児の中から選んで①に入力してください。</t>
    </r>
    <r>
      <rPr>
        <sz val="11"/>
        <color indexed="10"/>
        <rFont val="ＭＳ Ｐゴシック"/>
        <family val="3"/>
        <charset val="128"/>
      </rPr>
      <t>（年齢区分は必ず選択してください。）</t>
    </r>
    <rPh sb="0" eb="2">
      <t>コクホ</t>
    </rPh>
    <rPh sb="2" eb="5">
      <t>カニュウシャ</t>
    </rPh>
    <rPh sb="6" eb="8">
      <t>ネンレイ</t>
    </rPh>
    <rPh sb="30" eb="31">
      <t>サイ</t>
    </rPh>
    <rPh sb="31" eb="33">
      <t>ミマン</t>
    </rPh>
    <rPh sb="34" eb="37">
      <t>ショウガクセイ</t>
    </rPh>
    <rPh sb="38" eb="41">
      <t>コウコウセイ</t>
    </rPh>
    <rPh sb="47" eb="48">
      <t>ナカ</t>
    </rPh>
    <rPh sb="50" eb="51">
      <t>エラ</t>
    </rPh>
    <rPh sb="55" eb="57">
      <t>ニュウリョク</t>
    </rPh>
    <rPh sb="65" eb="67">
      <t>ネンレイ</t>
    </rPh>
    <rPh sb="67" eb="69">
      <t>クブン</t>
    </rPh>
    <rPh sb="70" eb="71">
      <t>カナラ</t>
    </rPh>
    <rPh sb="72" eb="74">
      <t>センタク</t>
    </rPh>
    <phoneticPr fontId="2"/>
  </si>
  <si>
    <t>小学生～高校生の人数</t>
    <rPh sb="0" eb="4">
      <t>ショウガクセイカラ</t>
    </rPh>
    <rPh sb="4" eb="7">
      <t>コウコウセイ</t>
    </rPh>
    <rPh sb="8" eb="10">
      <t>ニンズウ</t>
    </rPh>
    <phoneticPr fontId="2"/>
  </si>
  <si>
    <t>　★医療分及び後期支援分：未就学児は半額軽減</t>
    <rPh sb="2" eb="5">
      <t>イリョウブン</t>
    </rPh>
    <rPh sb="5" eb="6">
      <t>オヨ</t>
    </rPh>
    <rPh sb="7" eb="9">
      <t>コウキ</t>
    </rPh>
    <rPh sb="9" eb="11">
      <t>シエン</t>
    </rPh>
    <rPh sb="11" eb="12">
      <t>ブン</t>
    </rPh>
    <rPh sb="18" eb="20">
      <t>ハンガク</t>
    </rPh>
    <rPh sb="20" eb="22">
      <t>ケイゲン</t>
    </rPh>
    <phoneticPr fontId="2"/>
  </si>
  <si>
    <r>
      <t>均等割　</t>
    </r>
    <r>
      <rPr>
        <sz val="9"/>
        <rFont val="ＭＳ Ｐゴシック"/>
        <family val="3"/>
        <charset val="128"/>
      </rPr>
      <t>（子ども支援分：高校生以下は全額軽減）</t>
    </r>
    <r>
      <rPr>
        <sz val="8"/>
        <rFont val="ＭＳ Ｐゴシック"/>
        <family val="3"/>
        <charset val="128"/>
      </rPr>
      <t>　</t>
    </r>
    <rPh sb="0" eb="3">
      <t>キントウワリ</t>
    </rPh>
    <rPh sb="5" eb="6">
      <t>コ</t>
    </rPh>
    <rPh sb="8" eb="10">
      <t>シエン</t>
    </rPh>
    <rPh sb="10" eb="11">
      <t>ブン</t>
    </rPh>
    <rPh sb="12" eb="17">
      <t>コウコウセイイカ</t>
    </rPh>
    <rPh sb="18" eb="20">
      <t>ゼンガク</t>
    </rPh>
    <rPh sb="20" eb="22">
      <t>ケイゲン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</si>
</sst>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76" formatCode="&quot;（平成&quot;@&quot;年度）&quot;"/>
    <numFmt numFmtId="177" formatCode="0&quot;万&quot;&quot;円&quot;"/>
    <numFmt numFmtId="178" formatCode="#,##0_ "/>
    <numFmt numFmtId="179" formatCode="#,##0_);[Red]\(#,##0\)"/>
    <numFmt numFmtId="180" formatCode="0_ "/>
    <numFmt numFmtId="181" formatCode="0&quot;人&quot;"/>
    <numFmt numFmtId="182" formatCode="#,##0_ ;[Red]\-#,##0\ "/>
    <numFmt numFmtId="183" formatCode="###,###&quot;円&quot;"/>
    <numFmt numFmtId="184" formatCode="yyyy&quot;年&quot;"/>
    <numFmt numFmtId="185" formatCode="0&quot;割軽減適用&quot;"/>
    <numFmt numFmtId="186" formatCode="0&quot;月&quot;"/>
    <numFmt numFmtId="187" formatCode="0&quot;月から加入&quot;"/>
    <numFmt numFmtId="188" formatCode="0&quot;ヶ月分&quot;"/>
    <numFmt numFmtId="189" formatCode="\(0&quot;月～&quot;\)"/>
    <numFmt numFmtId="190" formatCode="&quot;（&quot;0&quot;月）&quot;"/>
    <numFmt numFmtId="191" formatCode="#,##0;&quot;△ &quot;#,##0"/>
    <numFmt numFmtId="192" formatCode="0_);[Red]\(0\)"/>
    <numFmt numFmtId="193" formatCode="&quot;令&quot;&quot;和&quot;0&quot;年&quot;&quot;度&quot;"/>
    <numFmt numFmtId="194" formatCode="#,##0\ &quot;以下&quot;"/>
    <numFmt numFmtId="195" formatCode="#,##0_ &quot;以上&quot;"/>
    <numFmt numFmtId="196" formatCode="&quot;（令和&quot;#&quot;年度）&quot;"/>
    <numFmt numFmtId="197" formatCode="\(0&quot;ヶ月分&quot;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.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39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84" fontId="0" fillId="0" borderId="0" xfId="0" applyNumberFormat="1"/>
    <xf numFmtId="0" fontId="0" fillId="0" borderId="0" xfId="0" applyFill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176" fontId="1" fillId="0" borderId="0" xfId="0" applyNumberFormat="1" applyFont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176" fontId="1" fillId="0" borderId="0" xfId="0" applyNumberFormat="1" applyFont="1" applyBorder="1" applyAlignment="1" applyProtection="1">
      <alignment horizontal="righ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9" fillId="0" borderId="0" xfId="0" applyFont="1" applyFill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 shrinkToFit="1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vertical="top" wrapText="1"/>
      <protection hidden="1"/>
    </xf>
    <xf numFmtId="49" fontId="0" fillId="0" borderId="0" xfId="0" applyNumberFormat="1" applyBorder="1" applyAlignment="1" applyProtection="1">
      <alignment vertical="center"/>
      <protection hidden="1"/>
    </xf>
    <xf numFmtId="178" fontId="4" fillId="0" borderId="0" xfId="0" applyNumberFormat="1" applyFont="1" applyBorder="1" applyAlignment="1" applyProtection="1">
      <alignment horizontal="right" vertical="center"/>
      <protection hidden="1"/>
    </xf>
    <xf numFmtId="179" fontId="4" fillId="0" borderId="0" xfId="0" applyNumberFormat="1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 shrinkToFit="1"/>
      <protection hidden="1"/>
    </xf>
    <xf numFmtId="0" fontId="0" fillId="0" borderId="2" xfId="0" applyBorder="1" applyAlignment="1" applyProtection="1">
      <alignment horizontal="center" vertical="center" shrinkToFit="1"/>
      <protection hidden="1"/>
    </xf>
    <xf numFmtId="0" fontId="1" fillId="0" borderId="3" xfId="0" applyFont="1" applyBorder="1" applyAlignment="1" applyProtection="1">
      <alignment horizontal="center" vertical="center" shrinkToFit="1"/>
      <protection hidden="1"/>
    </xf>
    <xf numFmtId="0" fontId="1" fillId="0" borderId="4" xfId="0" applyFont="1" applyBorder="1" applyAlignment="1" applyProtection="1">
      <alignment horizontal="center" vertical="center" shrinkToFit="1"/>
      <protection hidden="1"/>
    </xf>
    <xf numFmtId="0" fontId="0" fillId="2" borderId="5" xfId="0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>
      <alignment vertical="center"/>
    </xf>
    <xf numFmtId="38" fontId="0" fillId="0" borderId="0" xfId="3" applyFont="1" applyAlignment="1">
      <alignment horizontal="center"/>
    </xf>
    <xf numFmtId="0" fontId="0" fillId="0" borderId="6" xfId="0" applyBorder="1" applyAlignment="1">
      <alignment horizontal="center"/>
    </xf>
    <xf numFmtId="9" fontId="0" fillId="0" borderId="6" xfId="1" applyFont="1" applyBorder="1" applyAlignment="1">
      <alignment horizontal="center"/>
    </xf>
    <xf numFmtId="38" fontId="0" fillId="0" borderId="6" xfId="3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0" fontId="1" fillId="0" borderId="6" xfId="1" applyNumberFormat="1" applyFont="1" applyBorder="1" applyAlignment="1">
      <alignment vertical="center"/>
    </xf>
    <xf numFmtId="182" fontId="1" fillId="0" borderId="6" xfId="3" applyNumberFormat="1" applyFont="1" applyBorder="1" applyAlignment="1">
      <alignment vertical="center"/>
    </xf>
    <xf numFmtId="0" fontId="1" fillId="0" borderId="0" xfId="0" applyFont="1"/>
    <xf numFmtId="182" fontId="1" fillId="0" borderId="0" xfId="3" applyNumberFormat="1" applyFont="1" applyBorder="1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38" fontId="0" fillId="0" borderId="7" xfId="3" applyFont="1" applyBorder="1" applyAlignment="1">
      <alignment horizontal="center"/>
    </xf>
    <xf numFmtId="182" fontId="1" fillId="0" borderId="7" xfId="3" applyNumberFormat="1" applyFont="1" applyBorder="1" applyAlignment="1">
      <alignment vertical="center"/>
    </xf>
    <xf numFmtId="182" fontId="1" fillId="0" borderId="6" xfId="3" applyNumberFormat="1" applyFont="1" applyFill="1" applyBorder="1" applyAlignment="1">
      <alignment vertical="center"/>
    </xf>
    <xf numFmtId="10" fontId="0" fillId="0" borderId="6" xfId="0" applyNumberFormat="1" applyBorder="1"/>
    <xf numFmtId="178" fontId="0" fillId="0" borderId="6" xfId="0" applyNumberFormat="1" applyBorder="1"/>
    <xf numFmtId="0" fontId="6" fillId="0" borderId="0" xfId="0" applyFont="1" applyBorder="1" applyAlignment="1" applyProtection="1">
      <alignment vertical="center" shrinkToFit="1"/>
      <protection hidden="1"/>
    </xf>
    <xf numFmtId="14" fontId="1" fillId="0" borderId="8" xfId="0" applyNumberFormat="1" applyFont="1" applyBorder="1" applyAlignment="1" applyProtection="1">
      <alignment vertical="center"/>
      <protection hidden="1"/>
    </xf>
    <xf numFmtId="191" fontId="1" fillId="2" borderId="5" xfId="3" applyNumberFormat="1" applyFill="1" applyBorder="1" applyAlignment="1" applyProtection="1">
      <alignment horizontal="right" vertical="center"/>
      <protection locked="0" hidden="1"/>
    </xf>
    <xf numFmtId="191" fontId="0" fillId="0" borderId="1" xfId="0" applyNumberFormat="1" applyBorder="1" applyAlignment="1" applyProtection="1">
      <alignment horizontal="right" vertical="center"/>
      <protection hidden="1"/>
    </xf>
    <xf numFmtId="191" fontId="1" fillId="0" borderId="3" xfId="3" applyNumberFormat="1" applyBorder="1" applyAlignment="1" applyProtection="1">
      <alignment horizontal="right" vertical="center"/>
      <protection locked="0" hidden="1"/>
    </xf>
    <xf numFmtId="182" fontId="0" fillId="0" borderId="9" xfId="0" applyNumberFormat="1" applyFill="1" applyBorder="1" applyAlignment="1" applyProtection="1">
      <alignment vertical="center"/>
      <protection hidden="1"/>
    </xf>
    <xf numFmtId="182" fontId="0" fillId="0" borderId="0" xfId="0" applyNumberFormat="1" applyFill="1" applyAlignment="1" applyProtection="1">
      <alignment vertical="center"/>
      <protection hidden="1"/>
    </xf>
    <xf numFmtId="182" fontId="0" fillId="0" borderId="10" xfId="0" applyNumberFormat="1" applyFill="1" applyBorder="1" applyAlignment="1" applyProtection="1">
      <alignment vertical="center"/>
      <protection hidden="1"/>
    </xf>
    <xf numFmtId="182" fontId="0" fillId="0" borderId="11" xfId="0" applyNumberFormat="1" applyFill="1" applyBorder="1" applyAlignment="1" applyProtection="1">
      <alignment vertical="center"/>
      <protection hidden="1"/>
    </xf>
    <xf numFmtId="182" fontId="0" fillId="0" borderId="12" xfId="0" applyNumberFormat="1" applyFill="1" applyBorder="1" applyAlignment="1" applyProtection="1">
      <alignment vertical="center"/>
      <protection hidden="1"/>
    </xf>
    <xf numFmtId="14" fontId="13" fillId="0" borderId="0" xfId="0" applyNumberFormat="1" applyFont="1" applyBorder="1" applyAlignment="1" applyProtection="1">
      <alignment vertical="center"/>
      <protection hidden="1"/>
    </xf>
    <xf numFmtId="0" fontId="0" fillId="4" borderId="13" xfId="0" applyFill="1" applyBorder="1" applyAlignment="1" applyProtection="1">
      <alignment vertical="center"/>
      <protection hidden="1"/>
    </xf>
    <xf numFmtId="191" fontId="12" fillId="0" borderId="4" xfId="3" applyNumberFormat="1" applyFont="1" applyBorder="1" applyAlignment="1" applyProtection="1">
      <alignment vertical="center"/>
      <protection locked="0" hidden="1"/>
    </xf>
    <xf numFmtId="191" fontId="21" fillId="0" borderId="0" xfId="0" applyNumberFormat="1" applyFont="1" applyBorder="1" applyAlignment="1" applyProtection="1">
      <alignment horizontal="left" vertical="center"/>
      <protection hidden="1"/>
    </xf>
    <xf numFmtId="0" fontId="21" fillId="0" borderId="0" xfId="0" applyFont="1" applyBorder="1" applyAlignment="1" applyProtection="1">
      <alignment horizontal="left" vertical="center"/>
      <protection hidden="1"/>
    </xf>
    <xf numFmtId="0" fontId="0" fillId="0" borderId="0" xfId="0" applyFont="1" applyBorder="1" applyAlignment="1" applyProtection="1">
      <alignment vertical="center" shrinkToFit="1"/>
      <protection hidden="1"/>
    </xf>
    <xf numFmtId="0" fontId="0" fillId="0" borderId="0" xfId="0" applyFont="1" applyAlignment="1" applyProtection="1">
      <alignment vertical="center" shrinkToFit="1"/>
      <protection hidden="1"/>
    </xf>
    <xf numFmtId="0" fontId="7" fillId="0" borderId="0" xfId="0" applyFont="1" applyBorder="1" applyAlignment="1" applyProtection="1">
      <alignment vertical="center" shrinkToFit="1"/>
      <protection hidden="1"/>
    </xf>
    <xf numFmtId="49" fontId="0" fillId="0" borderId="0" xfId="0" applyNumberFormat="1" applyFont="1" applyBorder="1" applyAlignment="1" applyProtection="1">
      <alignment horizontal="center" vertical="center" shrinkToFit="1"/>
      <protection hidden="1"/>
    </xf>
    <xf numFmtId="185" fontId="8" fillId="0" borderId="0" xfId="0" applyNumberFormat="1" applyFont="1" applyAlignment="1" applyProtection="1">
      <alignment horizontal="center" vertical="center" shrinkToFit="1"/>
      <protection hidden="1"/>
    </xf>
    <xf numFmtId="0" fontId="0" fillId="0" borderId="0" xfId="0" applyFont="1" applyAlignment="1" applyProtection="1">
      <alignment horizontal="center" vertical="center" shrinkToFit="1"/>
      <protection hidden="1"/>
    </xf>
    <xf numFmtId="0" fontId="0" fillId="0" borderId="0" xfId="0" applyFont="1" applyBorder="1" applyAlignment="1" applyProtection="1">
      <alignment horizontal="left" vertical="center" shrinkToFit="1"/>
      <protection hidden="1"/>
    </xf>
    <xf numFmtId="0" fontId="0" fillId="0" borderId="0" xfId="0" applyFont="1" applyBorder="1" applyAlignment="1" applyProtection="1">
      <alignment vertical="top" shrinkToFit="1"/>
      <protection hidden="1"/>
    </xf>
    <xf numFmtId="0" fontId="0" fillId="0" borderId="0" xfId="0" applyFont="1" applyBorder="1" applyAlignment="1" applyProtection="1">
      <alignment horizontal="right" vertical="top" shrinkToFit="1"/>
      <protection hidden="1"/>
    </xf>
    <xf numFmtId="0" fontId="6" fillId="0" borderId="0" xfId="0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 applyProtection="1">
      <alignment horizontal="right" vertical="center" shrinkToFit="1"/>
      <protection hidden="1"/>
    </xf>
    <xf numFmtId="183" fontId="6" fillId="0" borderId="0" xfId="0" applyNumberFormat="1" applyFont="1" applyBorder="1" applyAlignment="1" applyProtection="1">
      <alignment horizontal="right" vertical="center" shrinkToFit="1"/>
      <protection hidden="1"/>
    </xf>
    <xf numFmtId="0" fontId="14" fillId="0" borderId="0" xfId="0" applyFont="1" applyBorder="1" applyAlignment="1" applyProtection="1">
      <alignment horizontal="right" vertical="center" shrinkToFit="1"/>
      <protection hidden="1"/>
    </xf>
    <xf numFmtId="10" fontId="1" fillId="0" borderId="6" xfId="1" applyNumberFormat="1" applyFont="1" applyFill="1" applyBorder="1" applyAlignment="1">
      <alignment vertical="center"/>
    </xf>
    <xf numFmtId="0" fontId="0" fillId="0" borderId="6" xfId="0" applyFill="1" applyBorder="1" applyAlignment="1">
      <alignment horizontal="center"/>
    </xf>
    <xf numFmtId="0" fontId="0" fillId="0" borderId="0" xfId="0" applyFill="1"/>
    <xf numFmtId="192" fontId="0" fillId="0" borderId="6" xfId="0" applyNumberFormat="1" applyFill="1" applyBorder="1" applyAlignment="1">
      <alignment vertical="center"/>
    </xf>
    <xf numFmtId="178" fontId="0" fillId="0" borderId="0" xfId="0" applyNumberFormat="1" applyBorder="1" applyAlignment="1" applyProtection="1">
      <alignment vertical="center"/>
      <protection hidden="1"/>
    </xf>
    <xf numFmtId="38" fontId="1" fillId="0" borderId="7" xfId="3" applyBorder="1" applyAlignment="1" applyProtection="1">
      <alignment vertical="center"/>
      <protection hidden="1"/>
    </xf>
    <xf numFmtId="38" fontId="1" fillId="0" borderId="11" xfId="3" applyBorder="1" applyAlignment="1" applyProtection="1">
      <alignment vertical="center"/>
      <protection hidden="1"/>
    </xf>
    <xf numFmtId="178" fontId="0" fillId="0" borderId="12" xfId="0" applyNumberFormat="1" applyBorder="1" applyAlignment="1" applyProtection="1">
      <alignment vertical="center"/>
      <protection hidden="1"/>
    </xf>
    <xf numFmtId="38" fontId="1" fillId="0" borderId="14" xfId="3" applyBorder="1" applyAlignment="1" applyProtection="1">
      <alignment vertical="center"/>
      <protection hidden="1"/>
    </xf>
    <xf numFmtId="178" fontId="0" fillId="0" borderId="15" xfId="0" applyNumberFormat="1" applyBorder="1" applyAlignment="1" applyProtection="1">
      <alignment vertical="center"/>
      <protection hidden="1"/>
    </xf>
    <xf numFmtId="38" fontId="1" fillId="0" borderId="16" xfId="3" applyBorder="1" applyAlignment="1" applyProtection="1">
      <alignment vertical="center"/>
      <protection hidden="1"/>
    </xf>
    <xf numFmtId="178" fontId="0" fillId="0" borderId="9" xfId="0" applyNumberFormat="1" applyBorder="1" applyAlignment="1" applyProtection="1">
      <alignment vertical="center"/>
      <protection hidden="1"/>
    </xf>
    <xf numFmtId="0" fontId="1" fillId="0" borderId="0" xfId="0" applyNumberFormat="1" applyFont="1" applyFill="1" applyBorder="1" applyAlignment="1" applyProtection="1">
      <alignment vertical="center"/>
      <protection hidden="1"/>
    </xf>
    <xf numFmtId="0" fontId="0" fillId="0" borderId="11" xfId="0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38" fontId="0" fillId="0" borderId="0" xfId="0" applyNumberForma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178" fontId="0" fillId="0" borderId="0" xfId="0" applyNumberForma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top" wrapText="1"/>
      <protection hidden="1"/>
    </xf>
    <xf numFmtId="0" fontId="10" fillId="0" borderId="0" xfId="0" applyFont="1" applyFill="1" applyBorder="1" applyAlignment="1" applyProtection="1">
      <alignment horizontal="right" vertical="center"/>
      <protection hidden="1"/>
    </xf>
    <xf numFmtId="0" fontId="10" fillId="0" borderId="17" xfId="0" applyNumberFormat="1" applyFont="1" applyFill="1" applyBorder="1" applyAlignment="1" applyProtection="1">
      <alignment horizontal="right" vertical="center"/>
      <protection hidden="1"/>
    </xf>
    <xf numFmtId="182" fontId="1" fillId="0" borderId="6" xfId="3" applyNumberFormat="1" applyFill="1" applyBorder="1" applyAlignment="1" applyProtection="1">
      <alignment vertical="center"/>
      <protection hidden="1"/>
    </xf>
    <xf numFmtId="182" fontId="1" fillId="0" borderId="6" xfId="3" applyNumberFormat="1" applyFont="1" applyFill="1" applyBorder="1" applyAlignment="1" applyProtection="1">
      <alignment vertical="center"/>
      <protection hidden="1"/>
    </xf>
    <xf numFmtId="182" fontId="1" fillId="0" borderId="18" xfId="3" applyNumberFormat="1" applyFill="1" applyBorder="1" applyAlignment="1" applyProtection="1">
      <alignment vertical="center"/>
      <protection hidden="1"/>
    </xf>
    <xf numFmtId="0" fontId="9" fillId="0" borderId="1" xfId="0" applyFont="1" applyFill="1" applyBorder="1" applyAlignment="1" applyProtection="1">
      <alignment horizontal="right" vertical="center"/>
      <protection hidden="1"/>
    </xf>
    <xf numFmtId="0" fontId="9" fillId="0" borderId="19" xfId="0" applyFont="1" applyFill="1" applyBorder="1" applyAlignment="1" applyProtection="1">
      <alignment horizontal="right" vertical="center"/>
      <protection hidden="1"/>
    </xf>
    <xf numFmtId="38" fontId="9" fillId="0" borderId="20" xfId="0" applyNumberFormat="1" applyFont="1" applyFill="1" applyBorder="1" applyAlignment="1" applyProtection="1">
      <alignment horizontal="right" vertical="center"/>
      <protection hidden="1"/>
    </xf>
    <xf numFmtId="38" fontId="9" fillId="0" borderId="13" xfId="0" applyNumberFormat="1" applyFont="1" applyFill="1" applyBorder="1" applyAlignment="1" applyProtection="1">
      <alignment horizontal="right" vertical="center"/>
      <protection hidden="1"/>
    </xf>
    <xf numFmtId="178" fontId="9" fillId="0" borderId="13" xfId="0" applyNumberFormat="1" applyFont="1" applyFill="1" applyBorder="1" applyAlignment="1" applyProtection="1">
      <alignment horizontal="right" vertical="center"/>
      <protection hidden="1"/>
    </xf>
    <xf numFmtId="0" fontId="9" fillId="0" borderId="13" xfId="0" applyFont="1" applyFill="1" applyBorder="1" applyAlignment="1" applyProtection="1">
      <alignment horizontal="right" vertical="center"/>
      <protection hidden="1"/>
    </xf>
    <xf numFmtId="0" fontId="9" fillId="0" borderId="21" xfId="0" applyFont="1" applyFill="1" applyBorder="1" applyAlignment="1" applyProtection="1">
      <alignment horizontal="right" vertical="center"/>
      <protection hidden="1"/>
    </xf>
    <xf numFmtId="182" fontId="9" fillId="0" borderId="22" xfId="0" applyNumberFormat="1" applyFont="1" applyFill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0" fontId="9" fillId="0" borderId="13" xfId="0" applyFont="1" applyBorder="1" applyProtection="1">
      <protection hidden="1"/>
    </xf>
    <xf numFmtId="0" fontId="9" fillId="0" borderId="13" xfId="0" applyFont="1" applyBorder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0" fillId="0" borderId="21" xfId="0" applyBorder="1" applyAlignment="1" applyProtection="1">
      <alignment vertical="center"/>
      <protection hidden="1"/>
    </xf>
    <xf numFmtId="0" fontId="9" fillId="0" borderId="20" xfId="0" applyFont="1" applyBorder="1" applyProtection="1">
      <protection hidden="1"/>
    </xf>
    <xf numFmtId="38" fontId="1" fillId="0" borderId="24" xfId="3" applyBorder="1" applyProtection="1">
      <protection hidden="1"/>
    </xf>
    <xf numFmtId="178" fontId="0" fillId="0" borderId="25" xfId="0" applyNumberFormat="1" applyBorder="1" applyAlignment="1" applyProtection="1">
      <alignment vertical="center"/>
      <protection hidden="1"/>
    </xf>
    <xf numFmtId="38" fontId="1" fillId="0" borderId="26" xfId="3" applyBorder="1" applyAlignment="1" applyProtection="1">
      <alignment vertical="center"/>
      <protection hidden="1"/>
    </xf>
    <xf numFmtId="178" fontId="0" fillId="0" borderId="10" xfId="0" applyNumberFormat="1" applyBorder="1" applyAlignment="1" applyProtection="1">
      <alignment vertical="center"/>
      <protection hidden="1"/>
    </xf>
    <xf numFmtId="0" fontId="1" fillId="0" borderId="21" xfId="0" applyFont="1" applyBorder="1" applyAlignment="1" applyProtection="1">
      <alignment vertical="center"/>
      <protection hidden="1"/>
    </xf>
    <xf numFmtId="38" fontId="1" fillId="0" borderId="11" xfId="3" applyFill="1" applyBorder="1" applyProtection="1">
      <protection hidden="1"/>
    </xf>
    <xf numFmtId="38" fontId="1" fillId="0" borderId="7" xfId="3" applyFill="1" applyBorder="1" applyAlignment="1" applyProtection="1">
      <alignment vertical="center"/>
      <protection hidden="1"/>
    </xf>
    <xf numFmtId="178" fontId="0" fillId="0" borderId="12" xfId="0" applyNumberFormat="1" applyFill="1" applyBorder="1" applyAlignment="1" applyProtection="1">
      <alignment vertical="center"/>
      <protection hidden="1"/>
    </xf>
    <xf numFmtId="38" fontId="1" fillId="0" borderId="11" xfId="3" applyFill="1" applyBorder="1" applyAlignment="1" applyProtection="1">
      <alignment vertical="center"/>
      <protection hidden="1"/>
    </xf>
    <xf numFmtId="38" fontId="1" fillId="0" borderId="24" xfId="3" applyFill="1" applyBorder="1" applyProtection="1">
      <protection hidden="1"/>
    </xf>
    <xf numFmtId="178" fontId="0" fillId="0" borderId="25" xfId="0" applyNumberFormat="1" applyFill="1" applyBorder="1" applyAlignment="1" applyProtection="1">
      <alignment vertical="center"/>
      <protection hidden="1"/>
    </xf>
    <xf numFmtId="38" fontId="1" fillId="0" borderId="26" xfId="3" applyFill="1" applyBorder="1" applyAlignment="1" applyProtection="1">
      <alignment vertical="center"/>
      <protection hidden="1"/>
    </xf>
    <xf numFmtId="178" fontId="0" fillId="0" borderId="10" xfId="0" applyNumberFormat="1" applyFill="1" applyBorder="1" applyAlignment="1" applyProtection="1">
      <alignment vertical="center"/>
      <protection hidden="1"/>
    </xf>
    <xf numFmtId="38" fontId="1" fillId="0" borderId="14" xfId="3" applyFill="1" applyBorder="1" applyAlignment="1" applyProtection="1">
      <alignment vertical="center"/>
      <protection hidden="1"/>
    </xf>
    <xf numFmtId="178" fontId="0" fillId="0" borderId="15" xfId="0" applyNumberFormat="1" applyFill="1" applyBorder="1" applyAlignment="1" applyProtection="1">
      <alignment vertical="center"/>
      <protection hidden="1"/>
    </xf>
    <xf numFmtId="38" fontId="1" fillId="0" borderId="16" xfId="3" applyFill="1" applyBorder="1" applyAlignment="1" applyProtection="1">
      <alignment vertical="center"/>
      <protection hidden="1"/>
    </xf>
    <xf numFmtId="178" fontId="0" fillId="0" borderId="9" xfId="0" applyNumberFormat="1" applyFill="1" applyBorder="1" applyAlignment="1" applyProtection="1">
      <alignment vertical="center"/>
      <protection hidden="1"/>
    </xf>
    <xf numFmtId="0" fontId="9" fillId="0" borderId="27" xfId="0" applyFont="1" applyBorder="1" applyAlignment="1" applyProtection="1">
      <alignment horizontal="center" vertical="center"/>
      <protection hidden="1"/>
    </xf>
    <xf numFmtId="178" fontId="9" fillId="0" borderId="28" xfId="0" applyNumberFormat="1" applyFont="1" applyBorder="1" applyProtection="1">
      <protection hidden="1"/>
    </xf>
    <xf numFmtId="178" fontId="9" fillId="0" borderId="29" xfId="0" applyNumberFormat="1" applyFont="1" applyBorder="1" applyProtection="1">
      <protection hidden="1"/>
    </xf>
    <xf numFmtId="178" fontId="0" fillId="0" borderId="30" xfId="0" applyNumberFormat="1" applyFill="1" applyBorder="1" applyProtection="1">
      <protection hidden="1"/>
    </xf>
    <xf numFmtId="178" fontId="0" fillId="0" borderId="31" xfId="0" applyNumberFormat="1" applyFill="1" applyBorder="1" applyProtection="1">
      <protection hidden="1"/>
    </xf>
    <xf numFmtId="0" fontId="0" fillId="0" borderId="1" xfId="0" applyFill="1" applyBorder="1" applyProtection="1">
      <protection hidden="1"/>
    </xf>
    <xf numFmtId="0" fontId="0" fillId="0" borderId="19" xfId="0" applyFill="1" applyBorder="1" applyProtection="1">
      <protection hidden="1"/>
    </xf>
    <xf numFmtId="38" fontId="1" fillId="0" borderId="6" xfId="3" applyFont="1" applyFill="1" applyBorder="1" applyProtection="1">
      <protection hidden="1"/>
    </xf>
    <xf numFmtId="38" fontId="1" fillId="0" borderId="18" xfId="3" applyFont="1" applyFill="1" applyBorder="1" applyProtection="1">
      <protection hidden="1"/>
    </xf>
    <xf numFmtId="0" fontId="9" fillId="0" borderId="17" xfId="0" applyFont="1" applyFill="1" applyBorder="1" applyAlignment="1" applyProtection="1">
      <alignment horizontal="center" vertical="center"/>
      <protection hidden="1"/>
    </xf>
    <xf numFmtId="0" fontId="9" fillId="0" borderId="22" xfId="0" applyFont="1" applyFill="1" applyBorder="1" applyAlignment="1" applyProtection="1">
      <alignment horizontal="center" vertical="center"/>
      <protection hidden="1"/>
    </xf>
    <xf numFmtId="0" fontId="9" fillId="0" borderId="32" xfId="0" applyFont="1" applyFill="1" applyBorder="1" applyAlignment="1" applyProtection="1">
      <alignment horizontal="center" vertical="center"/>
      <protection hidden="1"/>
    </xf>
    <xf numFmtId="0" fontId="9" fillId="0" borderId="33" xfId="0" applyFont="1" applyBorder="1" applyAlignment="1" applyProtection="1">
      <alignment horizontal="center" vertical="center"/>
      <protection hidden="1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1" fillId="0" borderId="34" xfId="0" applyFont="1" applyBorder="1" applyAlignment="1">
      <alignment vertical="top" wrapText="1"/>
    </xf>
    <xf numFmtId="0" fontId="1" fillId="0" borderId="34" xfId="0" applyFont="1" applyBorder="1" applyAlignment="1">
      <alignment vertical="center"/>
    </xf>
    <xf numFmtId="0" fontId="1" fillId="0" borderId="36" xfId="0" applyFont="1" applyBorder="1" applyAlignment="1">
      <alignment vertical="top" wrapText="1"/>
    </xf>
    <xf numFmtId="0" fontId="0" fillId="0" borderId="37" xfId="0" applyBorder="1" applyAlignment="1">
      <alignment vertical="center"/>
    </xf>
    <xf numFmtId="0" fontId="9" fillId="0" borderId="0" xfId="0" applyFont="1" applyAlignment="1" applyProtection="1">
      <alignment vertical="center"/>
      <protection hidden="1"/>
    </xf>
    <xf numFmtId="38" fontId="0" fillId="0" borderId="0" xfId="0" applyNumberFormat="1" applyFill="1" applyBorder="1" applyAlignment="1" applyProtection="1">
      <alignment horizontal="right" vertical="center"/>
      <protection hidden="1"/>
    </xf>
    <xf numFmtId="38" fontId="9" fillId="0" borderId="15" xfId="0" applyNumberFormat="1" applyFont="1" applyFill="1" applyBorder="1" applyAlignment="1" applyProtection="1">
      <alignment horizontal="left" vertical="center"/>
      <protection hidden="1"/>
    </xf>
    <xf numFmtId="0" fontId="1" fillId="4" borderId="20" xfId="0" applyNumberFormat="1" applyFont="1" applyFill="1" applyBorder="1" applyAlignment="1" applyProtection="1">
      <alignment vertical="center"/>
      <protection hidden="1"/>
    </xf>
    <xf numFmtId="178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34" xfId="0" applyBorder="1" applyAlignment="1" applyProtection="1">
      <alignment vertical="center"/>
      <protection hidden="1"/>
    </xf>
    <xf numFmtId="0" fontId="0" fillId="0" borderId="35" xfId="0" applyBorder="1" applyAlignment="1" applyProtection="1">
      <alignment vertical="center"/>
      <protection hidden="1"/>
    </xf>
    <xf numFmtId="0" fontId="1" fillId="0" borderId="35" xfId="0" applyFont="1" applyBorder="1" applyAlignment="1" applyProtection="1">
      <alignment vertical="center"/>
      <protection hidden="1"/>
    </xf>
    <xf numFmtId="0" fontId="0" fillId="0" borderId="36" xfId="0" applyBorder="1" applyAlignment="1" applyProtection="1">
      <alignment vertical="center"/>
      <protection hidden="1"/>
    </xf>
    <xf numFmtId="0" fontId="0" fillId="0" borderId="37" xfId="0" applyBorder="1" applyAlignment="1" applyProtection="1">
      <alignment vertical="center"/>
      <protection hidden="1"/>
    </xf>
    <xf numFmtId="0" fontId="9" fillId="0" borderId="15" xfId="0" applyFont="1" applyFill="1" applyBorder="1" applyAlignment="1" applyProtection="1">
      <alignment vertical="center"/>
      <protection hidden="1"/>
    </xf>
    <xf numFmtId="0" fontId="0" fillId="0" borderId="35" xfId="0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vertical="center"/>
      <protection hidden="1"/>
    </xf>
    <xf numFmtId="38" fontId="0" fillId="0" borderId="6" xfId="3" applyFont="1" applyBorder="1"/>
    <xf numFmtId="0" fontId="0" fillId="0" borderId="6" xfId="0" applyFill="1" applyBorder="1"/>
    <xf numFmtId="38" fontId="1" fillId="0" borderId="6" xfId="3" applyFont="1" applyBorder="1" applyAlignment="1">
      <alignment horizontal="right" vertical="center"/>
    </xf>
    <xf numFmtId="38" fontId="0" fillId="0" borderId="6" xfId="3" applyFont="1" applyBorder="1" applyAlignment="1">
      <alignment horizontal="right"/>
    </xf>
    <xf numFmtId="194" fontId="9" fillId="0" borderId="6" xfId="3" applyNumberFormat="1" applyFont="1" applyBorder="1"/>
    <xf numFmtId="0" fontId="0" fillId="0" borderId="33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38" fontId="0" fillId="0" borderId="35" xfId="3" applyFont="1" applyBorder="1" applyAlignment="1" applyProtection="1">
      <alignment vertical="center"/>
      <protection hidden="1"/>
    </xf>
    <xf numFmtId="38" fontId="0" fillId="0" borderId="37" xfId="3" applyFont="1" applyBorder="1" applyAlignment="1" applyProtection="1">
      <alignment vertical="center"/>
      <protection hidden="1"/>
    </xf>
    <xf numFmtId="182" fontId="0" fillId="0" borderId="34" xfId="3" applyNumberFormat="1" applyFont="1" applyBorder="1" applyAlignment="1" applyProtection="1">
      <alignment vertical="center"/>
      <protection hidden="1"/>
    </xf>
    <xf numFmtId="182" fontId="0" fillId="0" borderId="36" xfId="3" applyNumberFormat="1" applyFont="1" applyBorder="1" applyAlignment="1" applyProtection="1">
      <alignment horizontal="right" vertical="center"/>
      <protection hidden="1"/>
    </xf>
    <xf numFmtId="38" fontId="1" fillId="0" borderId="6" xfId="3" applyFont="1" applyBorder="1"/>
    <xf numFmtId="38" fontId="1" fillId="0" borderId="6" xfId="3" applyFont="1" applyFill="1" applyBorder="1" applyAlignment="1">
      <alignment vertical="center"/>
    </xf>
    <xf numFmtId="38" fontId="0" fillId="0" borderId="6" xfId="3" applyFont="1" applyBorder="1" applyAlignment="1">
      <alignment vertical="center"/>
    </xf>
    <xf numFmtId="195" fontId="9" fillId="0" borderId="6" xfId="3" applyNumberFormat="1" applyFont="1" applyBorder="1" applyAlignment="1">
      <alignment horizontal="center"/>
    </xf>
    <xf numFmtId="38" fontId="0" fillId="0" borderId="20" xfId="0" applyNumberFormat="1" applyBorder="1" applyAlignment="1" applyProtection="1">
      <alignment vertical="center"/>
      <protection hidden="1"/>
    </xf>
    <xf numFmtId="38" fontId="0" fillId="0" borderId="13" xfId="0" applyNumberFormat="1" applyBorder="1" applyAlignment="1" applyProtection="1">
      <alignment vertical="center"/>
      <protection hidden="1"/>
    </xf>
    <xf numFmtId="38" fontId="0" fillId="0" borderId="21" xfId="0" applyNumberFormat="1" applyBorder="1" applyAlignment="1" applyProtection="1">
      <alignment vertical="center"/>
      <protection hidden="1"/>
    </xf>
    <xf numFmtId="0" fontId="9" fillId="0" borderId="25" xfId="0" applyFont="1" applyBorder="1" applyAlignment="1" applyProtection="1">
      <alignment vertical="center"/>
      <protection hidden="1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7" xfId="0" applyBorder="1"/>
    <xf numFmtId="0" fontId="0" fillId="0" borderId="0" xfId="0" applyBorder="1"/>
    <xf numFmtId="0" fontId="0" fillId="0" borderId="41" xfId="0" applyBorder="1"/>
    <xf numFmtId="0" fontId="0" fillId="0" borderId="42" xfId="0" applyBorder="1"/>
    <xf numFmtId="0" fontId="0" fillId="0" borderId="8" xfId="0" applyBorder="1"/>
    <xf numFmtId="0" fontId="0" fillId="0" borderId="43" xfId="0" applyBorder="1"/>
    <xf numFmtId="38" fontId="0" fillId="0" borderId="1" xfId="3" applyFont="1" applyBorder="1" applyAlignment="1" applyProtection="1">
      <alignment vertical="center"/>
      <protection hidden="1"/>
    </xf>
    <xf numFmtId="38" fontId="0" fillId="0" borderId="35" xfId="0" applyNumberFormat="1" applyFill="1" applyBorder="1" applyAlignment="1" applyProtection="1">
      <alignment vertical="center"/>
      <protection hidden="1"/>
    </xf>
    <xf numFmtId="38" fontId="0" fillId="0" borderId="28" xfId="3" applyFont="1" applyBorder="1" applyAlignment="1" applyProtection="1">
      <alignment vertical="center"/>
      <protection hidden="1"/>
    </xf>
    <xf numFmtId="38" fontId="0" fillId="5" borderId="27" xfId="0" applyNumberFormat="1" applyFill="1" applyBorder="1" applyAlignment="1" applyProtection="1">
      <alignment vertical="center"/>
      <protection hidden="1"/>
    </xf>
    <xf numFmtId="38" fontId="0" fillId="5" borderId="28" xfId="0" applyNumberFormat="1" applyFill="1" applyBorder="1" applyAlignment="1" applyProtection="1">
      <alignment vertical="center"/>
      <protection hidden="1"/>
    </xf>
    <xf numFmtId="38" fontId="0" fillId="5" borderId="29" xfId="0" applyNumberFormat="1" applyFill="1" applyBorder="1" applyAlignment="1" applyProtection="1">
      <alignment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9" fillId="0" borderId="23" xfId="0" applyFont="1" applyFill="1" applyBorder="1" applyAlignment="1" applyProtection="1">
      <alignment horizontal="center" vertical="center"/>
      <protection hidden="1"/>
    </xf>
    <xf numFmtId="38" fontId="12" fillId="0" borderId="14" xfId="3" applyFont="1" applyBorder="1" applyAlignment="1" applyProtection="1">
      <alignment vertical="center"/>
      <protection hidden="1"/>
    </xf>
    <xf numFmtId="178" fontId="12" fillId="0" borderId="15" xfId="0" applyNumberFormat="1" applyFont="1" applyBorder="1" applyAlignment="1" applyProtection="1">
      <alignment vertical="center"/>
      <protection hidden="1"/>
    </xf>
    <xf numFmtId="38" fontId="12" fillId="0" borderId="16" xfId="3" applyFont="1" applyBorder="1" applyAlignment="1" applyProtection="1">
      <alignment vertical="center"/>
      <protection hidden="1"/>
    </xf>
    <xf numFmtId="178" fontId="12" fillId="0" borderId="9" xfId="0" applyNumberFormat="1" applyFont="1" applyBorder="1" applyAlignment="1" applyProtection="1">
      <alignment vertical="center"/>
      <protection hidden="1"/>
    </xf>
    <xf numFmtId="182" fontId="0" fillId="0" borderId="24" xfId="0" applyNumberFormat="1" applyFill="1" applyBorder="1" applyAlignment="1" applyProtection="1">
      <alignment vertical="center"/>
      <protection hidden="1"/>
    </xf>
    <xf numFmtId="38" fontId="12" fillId="6" borderId="44" xfId="3" applyFont="1" applyFill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178" fontId="0" fillId="0" borderId="0" xfId="0" applyNumberFormat="1" applyBorder="1" applyProtection="1">
      <protection hidden="1"/>
    </xf>
    <xf numFmtId="38" fontId="0" fillId="0" borderId="37" xfId="0" applyNumberFormat="1" applyFill="1" applyBorder="1" applyAlignment="1" applyProtection="1">
      <alignment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vertical="center"/>
      <protection hidden="1"/>
    </xf>
    <xf numFmtId="0" fontId="2" fillId="6" borderId="45" xfId="0" applyFont="1" applyFill="1" applyBorder="1" applyAlignment="1" applyProtection="1">
      <alignment horizontal="center" vertical="center" wrapText="1"/>
      <protection hidden="1"/>
    </xf>
    <xf numFmtId="38" fontId="12" fillId="7" borderId="13" xfId="3" applyFont="1" applyFill="1" applyBorder="1" applyAlignment="1" applyProtection="1">
      <alignment vertical="center"/>
      <protection hidden="1"/>
    </xf>
    <xf numFmtId="38" fontId="12" fillId="7" borderId="21" xfId="3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0" fillId="6" borderId="45" xfId="0" applyFill="1" applyBorder="1" applyAlignment="1" applyProtection="1">
      <alignment vertical="center"/>
      <protection hidden="1"/>
    </xf>
    <xf numFmtId="0" fontId="9" fillId="5" borderId="23" xfId="0" applyFont="1" applyFill="1" applyBorder="1" applyAlignment="1" applyProtection="1">
      <alignment vertical="center"/>
      <protection hidden="1"/>
    </xf>
    <xf numFmtId="178" fontId="0" fillId="5" borderId="35" xfId="0" applyNumberFormat="1" applyFill="1" applyBorder="1" applyProtection="1">
      <protection hidden="1"/>
    </xf>
    <xf numFmtId="178" fontId="0" fillId="5" borderId="37" xfId="0" applyNumberFormat="1" applyFill="1" applyBorder="1" applyProtection="1">
      <protection hidden="1"/>
    </xf>
    <xf numFmtId="38" fontId="0" fillId="0" borderId="36" xfId="3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4" borderId="13" xfId="0" applyFont="1" applyFill="1" applyBorder="1" applyAlignment="1" applyProtection="1">
      <alignment vertical="center"/>
      <protection hidden="1"/>
    </xf>
    <xf numFmtId="0" fontId="0" fillId="4" borderId="21" xfId="0" applyFont="1" applyFill="1" applyBorder="1" applyAlignment="1" applyProtection="1">
      <alignment vertical="center"/>
      <protection hidden="1"/>
    </xf>
    <xf numFmtId="0" fontId="0" fillId="0" borderId="46" xfId="0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38" fontId="12" fillId="6" borderId="47" xfId="3" applyFont="1" applyFill="1" applyBorder="1" applyAlignment="1" applyProtection="1">
      <alignment vertical="center"/>
      <protection hidden="1"/>
    </xf>
    <xf numFmtId="38" fontId="0" fillId="0" borderId="11" xfId="3" applyFont="1" applyBorder="1" applyAlignment="1" applyProtection="1">
      <alignment vertical="center"/>
      <protection hidden="1"/>
    </xf>
    <xf numFmtId="178" fontId="9" fillId="0" borderId="0" xfId="0" applyNumberFormat="1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vertical="top" wrapText="1"/>
      <protection hidden="1"/>
    </xf>
    <xf numFmtId="191" fontId="12" fillId="2" borderId="30" xfId="3" applyNumberFormat="1" applyFont="1" applyFill="1" applyBorder="1" applyAlignment="1" applyProtection="1">
      <alignment vertical="center"/>
      <protection locked="0" hidden="1"/>
    </xf>
    <xf numFmtId="191" fontId="1" fillId="2" borderId="30" xfId="3" applyNumberFormat="1" applyFont="1" applyFill="1" applyBorder="1" applyAlignment="1" applyProtection="1">
      <alignment horizontal="right" vertical="center"/>
      <protection locked="0" hidden="1"/>
    </xf>
    <xf numFmtId="38" fontId="0" fillId="0" borderId="0" xfId="3" applyFont="1" applyBorder="1" applyAlignment="1">
      <alignment horizontal="center"/>
    </xf>
    <xf numFmtId="178" fontId="0" fillId="0" borderId="0" xfId="0" applyNumberFormat="1" applyBorder="1"/>
    <xf numFmtId="182" fontId="1" fillId="0" borderId="0" xfId="3" applyNumberFormat="1" applyFont="1" applyFill="1" applyBorder="1" applyAlignment="1">
      <alignment vertical="center"/>
    </xf>
    <xf numFmtId="0" fontId="22" fillId="0" borderId="38" xfId="0" applyFont="1" applyBorder="1"/>
    <xf numFmtId="0" fontId="22" fillId="0" borderId="39" xfId="0" applyFont="1" applyBorder="1"/>
    <xf numFmtId="0" fontId="22" fillId="0" borderId="40" xfId="0" applyFont="1" applyBorder="1"/>
    <xf numFmtId="0" fontId="22" fillId="0" borderId="7" xfId="0" applyFont="1" applyBorder="1"/>
    <xf numFmtId="0" fontId="22" fillId="0" borderId="0" xfId="0" applyFont="1" applyBorder="1"/>
    <xf numFmtId="0" fontId="22" fillId="0" borderId="41" xfId="0" applyFont="1" applyBorder="1"/>
    <xf numFmtId="0" fontId="22" fillId="0" borderId="42" xfId="0" applyFont="1" applyBorder="1"/>
    <xf numFmtId="0" fontId="22" fillId="0" borderId="8" xfId="0" applyFont="1" applyBorder="1"/>
    <xf numFmtId="0" fontId="22" fillId="0" borderId="43" xfId="0" applyFont="1" applyBorder="1"/>
    <xf numFmtId="182" fontId="0" fillId="0" borderId="15" xfId="0" applyNumberFormat="1" applyFill="1" applyBorder="1" applyAlignment="1" applyProtection="1">
      <alignment vertical="center"/>
      <protection hidden="1"/>
    </xf>
    <xf numFmtId="182" fontId="0" fillId="0" borderId="0" xfId="0" applyNumberFormat="1" applyFill="1" applyBorder="1" applyAlignment="1" applyProtection="1">
      <alignment vertical="center"/>
      <protection hidden="1"/>
    </xf>
    <xf numFmtId="181" fontId="17" fillId="0" borderId="0" xfId="0" applyNumberFormat="1" applyFont="1" applyFill="1" applyBorder="1" applyAlignment="1" applyProtection="1">
      <alignment horizontal="center" vertical="center"/>
      <protection locked="0" hidden="1"/>
    </xf>
    <xf numFmtId="178" fontId="17" fillId="0" borderId="0" xfId="0" applyNumberFormat="1" applyFont="1" applyFill="1" applyBorder="1" applyAlignment="1" applyProtection="1">
      <alignment vertical="center"/>
      <protection hidden="1"/>
    </xf>
    <xf numFmtId="182" fontId="1" fillId="0" borderId="44" xfId="3" applyNumberFormat="1" applyFont="1" applyBorder="1" applyAlignment="1">
      <alignment vertical="center"/>
    </xf>
    <xf numFmtId="178" fontId="0" fillId="0" borderId="44" xfId="0" applyNumberFormat="1" applyBorder="1"/>
    <xf numFmtId="182" fontId="1" fillId="0" borderId="44" xfId="3" applyNumberFormat="1" applyFont="1" applyFill="1" applyBorder="1" applyAlignment="1">
      <alignment vertical="center"/>
    </xf>
    <xf numFmtId="38" fontId="0" fillId="0" borderId="44" xfId="3" applyFont="1" applyBorder="1" applyAlignment="1">
      <alignment horizontal="center"/>
    </xf>
    <xf numFmtId="180" fontId="0" fillId="0" borderId="6" xfId="0" applyNumberFormat="1" applyBorder="1"/>
    <xf numFmtId="0" fontId="0" fillId="0" borderId="39" xfId="0" applyBorder="1" applyAlignment="1" applyProtection="1">
      <alignment horizontal="center" vertical="center" shrinkToFit="1"/>
      <protection hidden="1"/>
    </xf>
    <xf numFmtId="178" fontId="10" fillId="0" borderId="0" xfId="0" applyNumberFormat="1" applyFont="1" applyFill="1" applyBorder="1" applyAlignment="1" applyProtection="1">
      <alignment horizontal="left" vertical="center"/>
      <protection hidden="1"/>
    </xf>
    <xf numFmtId="0" fontId="0" fillId="0" borderId="48" xfId="0" applyBorder="1" applyAlignment="1" applyProtection="1">
      <alignment horizontal="center" vertical="center" wrapText="1" shrinkToFit="1"/>
      <protection hidden="1"/>
    </xf>
    <xf numFmtId="0" fontId="0" fillId="0" borderId="49" xfId="0" applyBorder="1" applyAlignment="1" applyProtection="1">
      <alignment horizontal="center" vertical="center" shrinkToFit="1"/>
      <protection hidden="1"/>
    </xf>
    <xf numFmtId="0" fontId="0" fillId="0" borderId="0" xfId="0" applyFont="1" applyBorder="1" applyAlignment="1" applyProtection="1">
      <alignment horizontal="center" vertical="center" shrinkToFit="1"/>
      <protection hidden="1"/>
    </xf>
    <xf numFmtId="0" fontId="0" fillId="0" borderId="50" xfId="0" applyFont="1" applyBorder="1" applyAlignment="1" applyProtection="1">
      <alignment horizontal="center" vertical="center" shrinkToFit="1"/>
      <protection hidden="1"/>
    </xf>
    <xf numFmtId="0" fontId="6" fillId="0" borderId="51" xfId="0" applyFont="1" applyBorder="1" applyAlignment="1" applyProtection="1">
      <alignment vertical="top"/>
      <protection hidden="1"/>
    </xf>
    <xf numFmtId="0" fontId="6" fillId="0" borderId="49" xfId="0" applyFont="1" applyBorder="1" applyAlignment="1" applyProtection="1">
      <alignment horizontal="center" vertical="center" shrinkToFit="1"/>
      <protection hidden="1"/>
    </xf>
    <xf numFmtId="178" fontId="4" fillId="0" borderId="52" xfId="0" applyNumberFormat="1" applyFont="1" applyBorder="1" applyAlignment="1" applyProtection="1">
      <alignment horizontal="right" vertical="center"/>
      <protection hidden="1"/>
    </xf>
    <xf numFmtId="181" fontId="4" fillId="0" borderId="53" xfId="0" applyNumberFormat="1" applyFont="1" applyBorder="1" applyAlignment="1" applyProtection="1">
      <alignment horizontal="center" vertical="center"/>
      <protection hidden="1"/>
    </xf>
    <xf numFmtId="178" fontId="4" fillId="0" borderId="30" xfId="0" applyNumberFormat="1" applyFont="1" applyBorder="1" applyAlignment="1" applyProtection="1">
      <alignment vertical="center"/>
      <protection hidden="1"/>
    </xf>
    <xf numFmtId="0" fontId="6" fillId="0" borderId="53" xfId="0" applyFont="1" applyBorder="1" applyAlignment="1" applyProtection="1">
      <alignment horizontal="center" vertical="center"/>
      <protection hidden="1"/>
    </xf>
    <xf numFmtId="178" fontId="4" fillId="0" borderId="54" xfId="0" applyNumberFormat="1" applyFont="1" applyBorder="1" applyAlignment="1" applyProtection="1">
      <alignment vertical="center"/>
      <protection hidden="1"/>
    </xf>
    <xf numFmtId="178" fontId="4" fillId="0" borderId="55" xfId="0" applyNumberFormat="1" applyFont="1" applyBorder="1" applyAlignment="1" applyProtection="1">
      <alignment horizontal="right" vertical="center"/>
      <protection hidden="1"/>
    </xf>
    <xf numFmtId="181" fontId="4" fillId="0" borderId="2" xfId="0" applyNumberFormat="1" applyFont="1" applyBorder="1" applyAlignment="1" applyProtection="1">
      <alignment horizontal="center" vertical="center"/>
      <protection locked="0" hidden="1"/>
    </xf>
    <xf numFmtId="178" fontId="4" fillId="0" borderId="39" xfId="0" applyNumberFormat="1" applyFont="1" applyBorder="1" applyAlignment="1" applyProtection="1">
      <alignment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1" fillId="0" borderId="38" xfId="0" applyFont="1" applyBorder="1" applyAlignment="1" applyProtection="1">
      <alignment horizontal="center" vertical="center" shrinkToFit="1"/>
      <protection hidden="1"/>
    </xf>
    <xf numFmtId="0" fontId="0" fillId="0" borderId="40" xfId="0" applyBorder="1" applyAlignment="1" applyProtection="1">
      <alignment horizontal="center" vertical="center" shrinkToFit="1"/>
      <protection hidden="1"/>
    </xf>
    <xf numFmtId="0" fontId="0" fillId="0" borderId="7" xfId="0" applyFont="1" applyBorder="1" applyAlignment="1" applyProtection="1">
      <alignment horizontal="center" vertical="center" shrinkToFit="1"/>
      <protection hidden="1"/>
    </xf>
    <xf numFmtId="0" fontId="0" fillId="0" borderId="41" xfId="0" applyFont="1" applyBorder="1" applyAlignment="1" applyProtection="1">
      <alignment horizontal="center" vertical="center" shrinkToFit="1"/>
      <protection hidden="1"/>
    </xf>
    <xf numFmtId="179" fontId="4" fillId="0" borderId="44" xfId="0" applyNumberFormat="1" applyFont="1" applyBorder="1" applyAlignment="1" applyProtection="1">
      <alignment horizontal="right" vertical="center"/>
      <protection hidden="1"/>
    </xf>
    <xf numFmtId="178" fontId="4" fillId="0" borderId="3" xfId="0" applyNumberFormat="1" applyFont="1" applyBorder="1" applyAlignment="1" applyProtection="1">
      <alignment vertical="center"/>
      <protection hidden="1"/>
    </xf>
    <xf numFmtId="179" fontId="4" fillId="0" borderId="38" xfId="0" applyNumberFormat="1" applyFont="1" applyBorder="1" applyAlignment="1" applyProtection="1">
      <alignment horizontal="right" vertical="center"/>
      <protection hidden="1"/>
    </xf>
    <xf numFmtId="178" fontId="4" fillId="0" borderId="40" xfId="0" applyNumberFormat="1" applyFont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vertical="top"/>
      <protection hidden="1"/>
    </xf>
    <xf numFmtId="38" fontId="0" fillId="0" borderId="44" xfId="3" applyFont="1" applyBorder="1" applyAlignment="1" applyProtection="1">
      <alignment vertical="center"/>
      <protection hidden="1"/>
    </xf>
    <xf numFmtId="178" fontId="4" fillId="0" borderId="3" xfId="0" applyNumberFormat="1" applyFont="1" applyBorder="1" applyAlignment="1" applyProtection="1">
      <alignment horizontal="right" vertical="center"/>
      <protection hidden="1"/>
    </xf>
    <xf numFmtId="38" fontId="0" fillId="0" borderId="38" xfId="3" applyFont="1" applyBorder="1" applyAlignment="1" applyProtection="1">
      <alignment vertical="center"/>
      <protection hidden="1"/>
    </xf>
    <xf numFmtId="178" fontId="4" fillId="0" borderId="40" xfId="0" applyNumberFormat="1" applyFont="1" applyBorder="1" applyAlignment="1" applyProtection="1">
      <alignment horizontal="right" vertical="center"/>
      <protection hidden="1"/>
    </xf>
    <xf numFmtId="179" fontId="4" fillId="0" borderId="44" xfId="0" applyNumberFormat="1" applyFont="1" applyBorder="1" applyAlignment="1" applyProtection="1">
      <alignment vertical="center"/>
      <protection hidden="1"/>
    </xf>
    <xf numFmtId="181" fontId="4" fillId="0" borderId="53" xfId="0" applyNumberFormat="1" applyFont="1" applyFill="1" applyBorder="1" applyAlignment="1" applyProtection="1">
      <alignment horizontal="center" vertical="center"/>
      <protection locked="0" hidden="1"/>
    </xf>
    <xf numFmtId="178" fontId="4" fillId="0" borderId="56" xfId="0" applyNumberFormat="1" applyFont="1" applyBorder="1" applyAlignment="1" applyProtection="1">
      <alignment vertical="center"/>
      <protection hidden="1"/>
    </xf>
    <xf numFmtId="0" fontId="19" fillId="0" borderId="0" xfId="0" applyFont="1" applyBorder="1" applyAlignment="1" applyProtection="1">
      <alignment vertical="center"/>
      <protection hidden="1"/>
    </xf>
    <xf numFmtId="0" fontId="20" fillId="0" borderId="0" xfId="0" applyFont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alignment vertical="center"/>
      <protection hidden="1"/>
    </xf>
    <xf numFmtId="38" fontId="22" fillId="0" borderId="0" xfId="3" applyFont="1" applyFill="1" applyBorder="1" applyAlignment="1" applyProtection="1">
      <alignment vertical="center"/>
      <protection hidden="1"/>
    </xf>
    <xf numFmtId="0" fontId="12" fillId="0" borderId="0" xfId="0" applyFont="1" applyFill="1" applyAlignment="1" applyProtection="1">
      <alignment vertical="center"/>
      <protection hidden="1"/>
    </xf>
    <xf numFmtId="0" fontId="12" fillId="0" borderId="0" xfId="0" applyFont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Border="1" applyAlignment="1" applyProtection="1">
      <alignment vertical="center"/>
      <protection hidden="1"/>
    </xf>
    <xf numFmtId="176" fontId="12" fillId="0" borderId="0" xfId="0" applyNumberFormat="1" applyFont="1" applyBorder="1" applyAlignment="1" applyProtection="1">
      <alignment horizontal="right" vertical="center"/>
      <protection hidden="1"/>
    </xf>
    <xf numFmtId="0" fontId="22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horizontal="left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38" fontId="22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horizontal="left" vertical="center" indent="1"/>
      <protection hidden="1"/>
    </xf>
    <xf numFmtId="0" fontId="0" fillId="0" borderId="0" xfId="0" applyBorder="1" applyAlignment="1" applyProtection="1">
      <alignment horizontal="left" vertical="center" indent="1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vertical="center" shrinkToFit="1"/>
      <protection hidden="1"/>
    </xf>
    <xf numFmtId="0" fontId="8" fillId="0" borderId="0" xfId="0" applyFont="1" applyAlignment="1" applyProtection="1">
      <alignment horizontal="left" vertical="center" shrinkToFit="1"/>
      <protection hidden="1"/>
    </xf>
    <xf numFmtId="0" fontId="8" fillId="0" borderId="0" xfId="0" applyFont="1" applyBorder="1" applyAlignment="1" applyProtection="1">
      <alignment horizontal="left" vertical="center" shrinkToFi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49" fontId="15" fillId="0" borderId="0" xfId="0" applyNumberFormat="1" applyFont="1" applyBorder="1" applyAlignment="1" applyProtection="1">
      <alignment horizontal="center" vertical="center" shrinkToFit="1"/>
      <protection hidden="1"/>
    </xf>
    <xf numFmtId="183" fontId="15" fillId="0" borderId="0" xfId="0" applyNumberFormat="1" applyFont="1" applyBorder="1" applyAlignment="1" applyProtection="1">
      <alignment vertical="center" shrinkToFit="1"/>
      <protection hidden="1"/>
    </xf>
    <xf numFmtId="183" fontId="15" fillId="0" borderId="6" xfId="0" applyNumberFormat="1" applyFont="1" applyBorder="1" applyAlignment="1" applyProtection="1">
      <alignment vertical="center" shrinkToFit="1"/>
      <protection hidden="1"/>
    </xf>
    <xf numFmtId="49" fontId="15" fillId="0" borderId="0" xfId="0" applyNumberFormat="1" applyFont="1" applyBorder="1" applyAlignment="1" applyProtection="1">
      <alignment horizontal="right" vertical="center" shrinkToFit="1"/>
      <protection hidden="1"/>
    </xf>
    <xf numFmtId="186" fontId="15" fillId="8" borderId="6" xfId="0" applyNumberFormat="1" applyFont="1" applyFill="1" applyBorder="1" applyAlignment="1" applyProtection="1">
      <alignment horizontal="center" vertical="center" shrinkToFit="1"/>
      <protection locked="0" hidden="1"/>
    </xf>
    <xf numFmtId="183" fontId="15" fillId="0" borderId="7" xfId="0" applyNumberFormat="1" applyFont="1" applyBorder="1" applyAlignment="1" applyProtection="1">
      <alignment vertical="center" shrinkToFit="1"/>
      <protection hidden="1"/>
    </xf>
    <xf numFmtId="0" fontId="11" fillId="0" borderId="0" xfId="2" applyBorder="1" applyAlignment="1" applyProtection="1">
      <alignment horizontal="left" vertical="center"/>
      <protection hidden="1"/>
    </xf>
    <xf numFmtId="183" fontId="15" fillId="0" borderId="46" xfId="0" applyNumberFormat="1" applyFont="1" applyBorder="1" applyAlignment="1" applyProtection="1">
      <alignment vertical="center" shrinkToFit="1"/>
      <protection hidden="1"/>
    </xf>
    <xf numFmtId="183" fontId="0" fillId="0" borderId="0" xfId="0" applyNumberFormat="1" applyFont="1" applyBorder="1" applyAlignment="1" applyProtection="1">
      <alignment vertical="center" shrinkToFit="1"/>
      <protection hidden="1"/>
    </xf>
    <xf numFmtId="183" fontId="16" fillId="0" borderId="11" xfId="0" applyNumberFormat="1" applyFont="1" applyBorder="1" applyAlignment="1" applyProtection="1">
      <alignment horizontal="right" vertical="center" shrinkToFit="1"/>
      <protection hidden="1"/>
    </xf>
    <xf numFmtId="0" fontId="0" fillId="2" borderId="30" xfId="0" applyFont="1" applyFill="1" applyBorder="1" applyAlignment="1" applyProtection="1">
      <alignment horizontal="center" vertical="center" shrinkToFit="1"/>
      <protection hidden="1"/>
    </xf>
    <xf numFmtId="0" fontId="0" fillId="2" borderId="5" xfId="0" applyFont="1" applyFill="1" applyBorder="1" applyAlignment="1" applyProtection="1">
      <alignment horizontal="center" vertical="center" shrinkToFit="1"/>
      <protection hidden="1"/>
    </xf>
    <xf numFmtId="183" fontId="16" fillId="0" borderId="46" xfId="0" applyNumberFormat="1" applyFont="1" applyBorder="1" applyAlignment="1" applyProtection="1">
      <alignment horizontal="right" vertical="center" shrinkToFit="1"/>
      <protection hidden="1"/>
    </xf>
    <xf numFmtId="187" fontId="0" fillId="0" borderId="0" xfId="0" applyNumberFormat="1" applyFont="1" applyBorder="1" applyAlignment="1" applyProtection="1">
      <alignment vertical="center" shrinkToFit="1"/>
      <protection hidden="1"/>
    </xf>
    <xf numFmtId="188" fontId="0" fillId="0" borderId="0" xfId="0" applyNumberFormat="1" applyFont="1" applyBorder="1" applyAlignment="1" applyProtection="1">
      <alignment vertical="center" shrinkToFit="1"/>
      <protection hidden="1"/>
    </xf>
    <xf numFmtId="0" fontId="0" fillId="0" borderId="0" xfId="0" applyFont="1" applyBorder="1" applyAlignment="1" applyProtection="1">
      <alignment vertical="center" wrapText="1"/>
      <protection hidden="1"/>
    </xf>
    <xf numFmtId="0" fontId="0" fillId="0" borderId="0" xfId="0" applyFont="1" applyBorder="1" applyAlignment="1" applyProtection="1">
      <alignment vertical="top"/>
      <protection hidden="1"/>
    </xf>
    <xf numFmtId="190" fontId="6" fillId="0" borderId="0" xfId="0" applyNumberFormat="1" applyFont="1" applyBorder="1" applyAlignment="1" applyProtection="1">
      <alignment vertical="top" shrinkToFit="1"/>
      <protection hidden="1"/>
    </xf>
    <xf numFmtId="177" fontId="4" fillId="0" borderId="6" xfId="0" applyNumberFormat="1" applyFont="1" applyBorder="1" applyAlignment="1" applyProtection="1">
      <alignment horizontal="center" vertical="center"/>
      <protection hidden="1"/>
    </xf>
    <xf numFmtId="0" fontId="2" fillId="0" borderId="11" xfId="0" applyFont="1" applyFill="1" applyBorder="1" applyAlignment="1" applyProtection="1">
      <alignment horizontal="center" vertical="center" wrapText="1"/>
      <protection hidden="1"/>
    </xf>
    <xf numFmtId="38" fontId="12" fillId="0" borderId="11" xfId="3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 vertical="center" shrinkToFit="1"/>
      <protection hidden="1"/>
    </xf>
    <xf numFmtId="0" fontId="0" fillId="0" borderId="42" xfId="0" applyFont="1" applyBorder="1" applyAlignment="1" applyProtection="1">
      <alignment horizontal="center" vertical="center" shrinkToFit="1"/>
      <protection hidden="1"/>
    </xf>
    <xf numFmtId="0" fontId="12" fillId="9" borderId="28" xfId="0" applyFont="1" applyFill="1" applyBorder="1" applyAlignment="1" applyProtection="1">
      <alignment horizontal="center" vertical="center" shrinkToFit="1"/>
      <protection hidden="1"/>
    </xf>
    <xf numFmtId="191" fontId="0" fillId="9" borderId="28" xfId="0" applyNumberFormat="1" applyFill="1" applyBorder="1" applyAlignment="1" applyProtection="1">
      <alignment vertical="center"/>
      <protection locked="0" hidden="1"/>
    </xf>
    <xf numFmtId="0" fontId="0" fillId="0" borderId="0" xfId="0" applyNumberFormat="1" applyFont="1" applyBorder="1" applyAlignment="1" applyProtection="1">
      <alignment vertical="center"/>
      <protection hidden="1"/>
    </xf>
    <xf numFmtId="176" fontId="12" fillId="0" borderId="0" xfId="0" applyNumberFormat="1" applyFont="1" applyBorder="1" applyAlignment="1" applyProtection="1">
      <alignment vertical="center"/>
      <protection hidden="1"/>
    </xf>
    <xf numFmtId="178" fontId="0" fillId="10" borderId="13" xfId="0" applyNumberFormat="1" applyFill="1" applyBorder="1" applyAlignment="1" applyProtection="1">
      <alignment horizontal="center" vertical="center"/>
      <protection hidden="1"/>
    </xf>
    <xf numFmtId="178" fontId="0" fillId="10" borderId="21" xfId="0" applyNumberFormat="1" applyFill="1" applyBorder="1" applyAlignment="1" applyProtection="1">
      <alignment horizontal="center" vertical="center"/>
      <protection hidden="1"/>
    </xf>
    <xf numFmtId="178" fontId="12" fillId="0" borderId="30" xfId="0" applyNumberFormat="1" applyFont="1" applyFill="1" applyBorder="1" applyProtection="1">
      <protection hidden="1"/>
    </xf>
    <xf numFmtId="191" fontId="0" fillId="0" borderId="6" xfId="0" applyNumberFormat="1" applyBorder="1" applyAlignment="1" applyProtection="1">
      <alignment vertical="center"/>
      <protection hidden="1"/>
    </xf>
    <xf numFmtId="0" fontId="0" fillId="0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6" xfId="0" applyNumberFormat="1" applyFont="1" applyBorder="1" applyAlignment="1" applyProtection="1">
      <alignment horizontal="center" vertical="center"/>
      <protection hidden="1"/>
    </xf>
    <xf numFmtId="197" fontId="1" fillId="0" borderId="0" xfId="0" applyNumberFormat="1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189" fontId="6" fillId="0" borderId="0" xfId="0" applyNumberFormat="1" applyFont="1" applyFill="1" applyBorder="1" applyAlignment="1" applyProtection="1">
      <alignment horizontal="center" vertical="top"/>
      <protection hidden="1"/>
    </xf>
    <xf numFmtId="196" fontId="23" fillId="0" borderId="0" xfId="0" applyNumberFormat="1" applyFont="1" applyAlignment="1" applyProtection="1">
      <alignment horizontal="left" vertical="center"/>
      <protection hidden="1"/>
    </xf>
    <xf numFmtId="0" fontId="0" fillId="0" borderId="6" xfId="0" applyFont="1" applyBorder="1" applyAlignment="1" applyProtection="1">
      <alignment horizontal="center" vertical="center"/>
      <protection hidden="1"/>
    </xf>
    <xf numFmtId="0" fontId="0" fillId="0" borderId="44" xfId="0" applyFont="1" applyBorder="1" applyAlignment="1" applyProtection="1">
      <alignment horizontal="center" vertical="center"/>
      <protection hidden="1"/>
    </xf>
    <xf numFmtId="191" fontId="0" fillId="2" borderId="1" xfId="0" applyNumberFormat="1" applyFill="1" applyBorder="1" applyAlignment="1" applyProtection="1">
      <alignment horizontal="right" vertical="center"/>
      <protection locked="0" hidden="1"/>
    </xf>
    <xf numFmtId="191" fontId="0" fillId="2" borderId="57" xfId="0" applyNumberFormat="1" applyFill="1" applyBorder="1" applyAlignment="1" applyProtection="1">
      <alignment horizontal="right" vertical="center"/>
      <protection locked="0" hidden="1"/>
    </xf>
    <xf numFmtId="10" fontId="4" fillId="0" borderId="56" xfId="0" applyNumberFormat="1" applyFont="1" applyBorder="1" applyAlignment="1" applyProtection="1">
      <alignment horizontal="center" vertical="center"/>
      <protection hidden="1"/>
    </xf>
    <xf numFmtId="10" fontId="4" fillId="0" borderId="52" xfId="0" applyNumberFormat="1" applyFont="1" applyBorder="1" applyAlignment="1" applyProtection="1">
      <alignment horizontal="center" vertical="center"/>
      <protection hidden="1"/>
    </xf>
    <xf numFmtId="191" fontId="0" fillId="2" borderId="44" xfId="0" applyNumberFormat="1" applyFill="1" applyBorder="1" applyAlignment="1" applyProtection="1">
      <alignment horizontal="right" vertical="center"/>
      <protection locked="0"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1" fillId="0" borderId="44" xfId="0" applyFont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shrinkToFit="1"/>
      <protection hidden="1"/>
    </xf>
    <xf numFmtId="0" fontId="0" fillId="2" borderId="57" xfId="0" applyFill="1" applyBorder="1" applyAlignment="1" applyProtection="1">
      <alignment horizontal="center" vertical="center" shrinkToFit="1"/>
      <protection hidden="1"/>
    </xf>
    <xf numFmtId="0" fontId="0" fillId="2" borderId="44" xfId="0" applyFont="1" applyFill="1" applyBorder="1" applyAlignment="1" applyProtection="1">
      <alignment horizontal="center" vertical="center" shrinkToFit="1"/>
      <protection hidden="1"/>
    </xf>
    <xf numFmtId="0" fontId="1" fillId="2" borderId="30" xfId="0" applyFont="1" applyFill="1" applyBorder="1" applyAlignment="1" applyProtection="1">
      <alignment horizontal="center" vertical="center" shrinkToFit="1"/>
      <protection hidden="1"/>
    </xf>
    <xf numFmtId="0" fontId="0" fillId="2" borderId="56" xfId="0" applyFill="1" applyBorder="1" applyAlignment="1" applyProtection="1">
      <alignment horizontal="left" vertical="center"/>
      <protection locked="0" hidden="1"/>
    </xf>
    <xf numFmtId="0" fontId="0" fillId="2" borderId="30" xfId="0" applyFill="1" applyBorder="1" applyAlignment="1" applyProtection="1">
      <alignment horizontal="left" vertical="center"/>
      <protection locked="0"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0" fontId="5" fillId="0" borderId="0" xfId="0" applyFont="1" applyBorder="1" applyAlignment="1" applyProtection="1">
      <alignment horizontal="left" vertical="center"/>
      <protection hidden="1"/>
    </xf>
    <xf numFmtId="193" fontId="18" fillId="3" borderId="58" xfId="0" applyNumberFormat="1" applyFont="1" applyFill="1" applyBorder="1" applyAlignment="1" applyProtection="1">
      <alignment horizontal="center" vertical="center"/>
      <protection hidden="1"/>
    </xf>
    <xf numFmtId="193" fontId="18" fillId="3" borderId="59" xfId="0" applyNumberFormat="1" applyFont="1" applyFill="1" applyBorder="1" applyAlignment="1" applyProtection="1">
      <alignment horizontal="center" vertical="center"/>
      <protection hidden="1"/>
    </xf>
    <xf numFmtId="0" fontId="1" fillId="2" borderId="57" xfId="0" applyFont="1" applyFill="1" applyBorder="1" applyAlignment="1" applyProtection="1">
      <alignment horizontal="center" vertical="center" shrinkToFit="1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 vertical="center"/>
      <protection hidden="1"/>
    </xf>
    <xf numFmtId="0" fontId="0" fillId="0" borderId="55" xfId="0" applyFont="1" applyBorder="1" applyAlignment="1" applyProtection="1">
      <alignment horizontal="center" vertical="center"/>
      <protection hidden="1"/>
    </xf>
    <xf numFmtId="0" fontId="0" fillId="0" borderId="39" xfId="0" applyFont="1" applyBorder="1" applyAlignment="1" applyProtection="1">
      <alignment horizontal="center" vertical="center"/>
      <protection hidden="1"/>
    </xf>
    <xf numFmtId="0" fontId="5" fillId="0" borderId="38" xfId="0" applyFont="1" applyBorder="1" applyAlignment="1" applyProtection="1">
      <alignment horizontal="center" vertical="center"/>
      <protection hidden="1"/>
    </xf>
    <xf numFmtId="0" fontId="5" fillId="0" borderId="39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0" fillId="0" borderId="60" xfId="0" applyFont="1" applyBorder="1" applyAlignment="1" applyProtection="1">
      <alignment horizontal="center" vertical="center" shrinkToFit="1"/>
      <protection hidden="1"/>
    </xf>
    <xf numFmtId="0" fontId="0" fillId="0" borderId="51" xfId="0" applyFont="1" applyBorder="1" applyAlignment="1" applyProtection="1">
      <alignment horizontal="center" vertical="center" shrinkToFit="1"/>
      <protection hidden="1"/>
    </xf>
    <xf numFmtId="0" fontId="0" fillId="0" borderId="44" xfId="0" applyBorder="1" applyAlignment="1" applyProtection="1">
      <alignment horizontal="center" vertical="center" shrinkToFit="1"/>
      <protection hidden="1"/>
    </xf>
    <xf numFmtId="0" fontId="0" fillId="0" borderId="30" xfId="0" applyBorder="1" applyAlignment="1" applyProtection="1">
      <alignment horizontal="center" vertical="center" shrinkToFit="1"/>
      <protection hidden="1"/>
    </xf>
    <xf numFmtId="0" fontId="0" fillId="0" borderId="3" xfId="0" applyBorder="1" applyAlignment="1" applyProtection="1">
      <alignment horizontal="center" vertical="center" shrinkToFit="1"/>
      <protection hidden="1"/>
    </xf>
    <xf numFmtId="0" fontId="0" fillId="0" borderId="30" xfId="0" applyFont="1" applyBorder="1" applyAlignment="1" applyProtection="1">
      <alignment horizontal="center" vertical="center" shrinkToFit="1"/>
      <protection hidden="1"/>
    </xf>
    <xf numFmtId="0" fontId="1" fillId="0" borderId="30" xfId="0" applyFont="1" applyBorder="1" applyAlignment="1" applyProtection="1">
      <alignment horizontal="center" vertical="center" shrinkToFit="1"/>
      <protection hidden="1"/>
    </xf>
    <xf numFmtId="49" fontId="15" fillId="0" borderId="0" xfId="0" applyNumberFormat="1" applyFont="1" applyBorder="1" applyAlignment="1" applyProtection="1">
      <alignment horizontal="left" vertical="center" wrapText="1" shrinkToFit="1"/>
      <protection hidden="1"/>
    </xf>
    <xf numFmtId="10" fontId="4" fillId="0" borderId="61" xfId="0" applyNumberFormat="1" applyFont="1" applyBorder="1" applyAlignment="1" applyProtection="1">
      <alignment horizontal="center" vertical="center"/>
      <protection hidden="1"/>
    </xf>
    <xf numFmtId="10" fontId="4" fillId="0" borderId="55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shrinkToFit="1"/>
      <protection hidden="1"/>
    </xf>
    <xf numFmtId="49" fontId="15" fillId="0" borderId="0" xfId="0" applyNumberFormat="1" applyFont="1" applyBorder="1" applyAlignment="1" applyProtection="1">
      <alignment horizontal="left" vertical="center" shrinkToFit="1"/>
      <protection hidden="1"/>
    </xf>
    <xf numFmtId="0" fontId="0" fillId="0" borderId="61" xfId="0" applyBorder="1" applyAlignment="1" applyProtection="1">
      <alignment horizontal="center" vertical="center" shrinkToFit="1"/>
      <protection hidden="1"/>
    </xf>
    <xf numFmtId="0" fontId="0" fillId="0" borderId="55" xfId="0" applyBorder="1" applyAlignment="1" applyProtection="1">
      <alignment horizontal="center" vertical="center" shrinkToFit="1"/>
      <protection hidden="1"/>
    </xf>
    <xf numFmtId="49" fontId="15" fillId="0" borderId="12" xfId="0" applyNumberFormat="1" applyFont="1" applyBorder="1" applyAlignment="1" applyProtection="1">
      <alignment horizontal="left" vertical="center" shrinkToFit="1"/>
      <protection hidden="1"/>
    </xf>
    <xf numFmtId="0" fontId="0" fillId="0" borderId="44" xfId="0" applyFont="1" applyBorder="1" applyAlignment="1" applyProtection="1">
      <alignment horizontal="center" vertical="center" shrinkToFit="1"/>
      <protection hidden="1"/>
    </xf>
    <xf numFmtId="0" fontId="1" fillId="0" borderId="3" xfId="0" applyFont="1" applyBorder="1" applyAlignment="1" applyProtection="1">
      <alignment horizontal="center" vertical="center" shrinkToFit="1"/>
      <protection hidden="1"/>
    </xf>
  </cellXfs>
  <cellStyles count="4">
    <cellStyle name="パーセント" xfId="1" builtinId="5"/>
    <cellStyle name="ハイパーリンク" xfId="2" builtinId="8"/>
    <cellStyle name="桁区切り" xfId="3" builtinId="6"/>
    <cellStyle name="標準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O100"/>
  <sheetViews>
    <sheetView showGridLines="0" tabSelected="1" zoomScaleNormal="100" zoomScaleSheetLayoutView="100" workbookViewId="0">
      <selection activeCell="I28" sqref="I28"/>
    </sheetView>
  </sheetViews>
  <sheetFormatPr defaultRowHeight="21.95" customHeight="1" x14ac:dyDescent="0.15"/>
  <cols>
    <col min="1" max="1" width="1.25" style="6" customWidth="1"/>
    <col min="2" max="3" width="6.5" style="6" customWidth="1"/>
    <col min="4" max="4" width="13.125" style="6" customWidth="1"/>
    <col min="5" max="5" width="6.5" style="6" customWidth="1"/>
    <col min="6" max="6" width="9.25" style="6" customWidth="1"/>
    <col min="7" max="8" width="13" style="6" customWidth="1"/>
    <col min="9" max="9" width="13" style="8" customWidth="1"/>
    <col min="10" max="10" width="13" style="6" customWidth="1"/>
    <col min="11" max="11" width="7.75" style="6" customWidth="1"/>
    <col min="12" max="12" width="5.25" style="6" customWidth="1"/>
    <col min="13" max="15" width="13" style="6" customWidth="1"/>
    <col min="16" max="16" width="4.25" style="6" customWidth="1"/>
    <col min="17" max="17" width="8.5" style="6" customWidth="1"/>
    <col min="18" max="18" width="3.625" style="6" customWidth="1"/>
    <col min="36" max="16384" width="9" style="6"/>
  </cols>
  <sheetData>
    <row r="1" spans="1:18" ht="21.75" customHeight="1" x14ac:dyDescent="0.15">
      <c r="A1" s="4"/>
      <c r="B1" s="286" t="s">
        <v>88</v>
      </c>
      <c r="C1" s="287"/>
      <c r="D1" s="287"/>
      <c r="F1" s="344">
        <v>8</v>
      </c>
      <c r="G1" s="344"/>
      <c r="I1" s="6"/>
      <c r="N1" s="288"/>
      <c r="O1" s="289"/>
      <c r="P1"/>
      <c r="Q1"/>
      <c r="R1"/>
    </row>
    <row r="2" spans="1:18" s="292" customFormat="1" ht="15" customHeight="1" x14ac:dyDescent="0.15">
      <c r="A2" s="290"/>
      <c r="B2" s="291"/>
      <c r="D2" s="291"/>
      <c r="E2" s="291"/>
      <c r="F2" s="293"/>
      <c r="G2" s="294"/>
      <c r="H2" s="294"/>
      <c r="I2" s="294"/>
      <c r="J2" s="294"/>
      <c r="K2" s="294"/>
      <c r="L2" s="294"/>
      <c r="M2" s="294"/>
      <c r="O2" s="295"/>
      <c r="P2" s="289"/>
    </row>
    <row r="3" spans="1:18" s="292" customFormat="1" ht="15" customHeight="1" x14ac:dyDescent="0.15">
      <c r="A3" s="290"/>
      <c r="C3" s="296" t="s">
        <v>89</v>
      </c>
      <c r="O3" s="288"/>
      <c r="P3" s="289"/>
    </row>
    <row r="4" spans="1:18" ht="15" customHeight="1" x14ac:dyDescent="0.15">
      <c r="A4" s="4"/>
      <c r="B4" s="297">
        <v>1</v>
      </c>
      <c r="C4" s="296" t="s">
        <v>138</v>
      </c>
      <c r="D4" s="291"/>
      <c r="E4" s="291"/>
      <c r="F4" s="293"/>
      <c r="G4" s="294"/>
      <c r="H4" s="294"/>
      <c r="I4" s="294"/>
      <c r="J4" s="294"/>
      <c r="K4" s="294"/>
      <c r="L4" s="294"/>
      <c r="M4" s="294"/>
      <c r="N4" s="292"/>
      <c r="O4" s="288"/>
      <c r="P4" s="289"/>
      <c r="Q4"/>
      <c r="R4"/>
    </row>
    <row r="5" spans="1:18" ht="15" customHeight="1" x14ac:dyDescent="0.15">
      <c r="A5" s="15"/>
      <c r="B5" s="297">
        <v>2</v>
      </c>
      <c r="C5" s="296" t="s">
        <v>90</v>
      </c>
      <c r="D5" s="291"/>
      <c r="E5" s="291"/>
      <c r="F5" s="293"/>
      <c r="G5" s="294"/>
      <c r="H5" s="294"/>
      <c r="I5" s="294"/>
      <c r="J5" s="294"/>
      <c r="K5" s="294"/>
      <c r="L5" s="294"/>
      <c r="M5" s="294"/>
      <c r="N5" s="292"/>
      <c r="O5" s="298"/>
      <c r="P5" s="289"/>
      <c r="Q5"/>
      <c r="R5"/>
    </row>
    <row r="6" spans="1:18" ht="15" customHeight="1" x14ac:dyDescent="0.15">
      <c r="A6" s="15"/>
      <c r="B6" s="297"/>
      <c r="C6" s="299" t="s">
        <v>91</v>
      </c>
      <c r="D6" s="291"/>
      <c r="E6" s="291"/>
      <c r="F6" s="293"/>
      <c r="G6" s="294"/>
      <c r="H6" s="294"/>
      <c r="I6" s="294"/>
      <c r="J6" s="294"/>
      <c r="K6" s="294"/>
      <c r="L6" s="294"/>
      <c r="M6" s="294"/>
      <c r="N6" s="292"/>
      <c r="O6" s="298"/>
      <c r="P6" s="289"/>
      <c r="Q6"/>
      <c r="R6"/>
    </row>
    <row r="7" spans="1:18" ht="15" customHeight="1" x14ac:dyDescent="0.15">
      <c r="A7" s="4"/>
      <c r="B7" s="297"/>
      <c r="C7" s="300" t="s">
        <v>92</v>
      </c>
      <c r="D7" s="291"/>
      <c r="E7" s="291"/>
      <c r="F7" s="293"/>
      <c r="G7" s="294"/>
      <c r="H7" s="294"/>
      <c r="I7" s="294"/>
      <c r="J7" s="294"/>
      <c r="K7" s="294"/>
      <c r="L7" s="294"/>
      <c r="M7" s="294"/>
      <c r="N7" s="292"/>
      <c r="O7" s="298"/>
      <c r="P7" s="289"/>
      <c r="Q7"/>
      <c r="R7"/>
    </row>
    <row r="8" spans="1:18" ht="27" customHeight="1" x14ac:dyDescent="0.15">
      <c r="A8" s="4"/>
      <c r="B8" s="297"/>
      <c r="C8" s="360" t="s">
        <v>93</v>
      </c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298"/>
      <c r="P8" s="289"/>
      <c r="Q8"/>
      <c r="R8"/>
    </row>
    <row r="9" spans="1:18" s="292" customFormat="1" ht="15.75" customHeight="1" x14ac:dyDescent="0.15">
      <c r="A9" s="4"/>
      <c r="B9" s="297"/>
      <c r="C9" s="360" t="s">
        <v>94</v>
      </c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298"/>
      <c r="P9" s="289"/>
    </row>
    <row r="10" spans="1:18" ht="15" customHeight="1" x14ac:dyDescent="0.15">
      <c r="A10" s="4"/>
      <c r="B10" s="297">
        <v>3</v>
      </c>
      <c r="C10" s="17" t="s">
        <v>95</v>
      </c>
      <c r="D10" s="291"/>
      <c r="E10" s="291"/>
      <c r="F10" s="293"/>
      <c r="G10" s="294"/>
      <c r="H10" s="294"/>
      <c r="I10" s="294"/>
      <c r="J10" s="294"/>
      <c r="K10" s="294"/>
      <c r="L10" s="294"/>
      <c r="M10" s="294"/>
      <c r="O10" s="5"/>
      <c r="Q10" s="292"/>
      <c r="R10"/>
    </row>
    <row r="11" spans="1:18" ht="15" customHeight="1" x14ac:dyDescent="0.15">
      <c r="A11" s="4"/>
      <c r="B11" s="297">
        <v>4</v>
      </c>
      <c r="C11" s="296" t="s">
        <v>127</v>
      </c>
      <c r="D11" s="291"/>
      <c r="E11" s="291"/>
      <c r="F11" s="293"/>
      <c r="G11" s="294"/>
      <c r="H11" s="294"/>
      <c r="I11" s="294"/>
      <c r="J11" s="294"/>
      <c r="K11" s="294"/>
      <c r="L11" s="294"/>
      <c r="M11" s="294"/>
      <c r="O11" s="5"/>
      <c r="Q11" s="292"/>
      <c r="R11"/>
    </row>
    <row r="12" spans="1:18" ht="15" customHeight="1" x14ac:dyDescent="0.15">
      <c r="A12" s="4"/>
      <c r="B12" s="301">
        <v>5</v>
      </c>
      <c r="C12" s="296" t="s">
        <v>96</v>
      </c>
      <c r="D12" s="291"/>
      <c r="E12" s="291"/>
      <c r="F12" s="293"/>
      <c r="G12" s="294"/>
      <c r="H12" s="294"/>
      <c r="I12" s="294"/>
      <c r="J12" s="294"/>
      <c r="K12" s="294"/>
      <c r="L12" s="294"/>
      <c r="M12" s="302"/>
      <c r="O12" s="5"/>
      <c r="Q12" s="292"/>
      <c r="R12"/>
    </row>
    <row r="13" spans="1:18" ht="15" hidden="1" customHeight="1" thickBot="1" x14ac:dyDescent="0.2">
      <c r="N13" s="57"/>
      <c r="Q13" s="292"/>
    </row>
    <row r="14" spans="1:18" ht="15" hidden="1" customHeight="1" thickBot="1" x14ac:dyDescent="0.2">
      <c r="A14" s="4"/>
      <c r="B14" s="362"/>
      <c r="C14" s="362"/>
      <c r="D14" s="362"/>
      <c r="E14" s="362"/>
      <c r="F14" s="219"/>
      <c r="G14" s="363">
        <v>8</v>
      </c>
      <c r="H14" s="364"/>
      <c r="I14" s="13"/>
      <c r="J14" s="13"/>
      <c r="K14" s="13"/>
      <c r="L14" s="13"/>
      <c r="M14" s="13"/>
      <c r="O14" s="13"/>
      <c r="P14" s="5"/>
      <c r="Q14" s="292"/>
      <c r="R14" s="5"/>
    </row>
    <row r="15" spans="1:18" ht="15" customHeight="1" x14ac:dyDescent="0.15">
      <c r="A15" s="4"/>
      <c r="B15" s="11"/>
      <c r="C15" s="11"/>
      <c r="D15" s="11"/>
      <c r="E15" s="11"/>
      <c r="F15" s="11"/>
      <c r="G15" s="11"/>
      <c r="H15" s="12"/>
      <c r="I15" s="13"/>
      <c r="J15" s="13"/>
      <c r="K15" s="13"/>
      <c r="L15" s="13"/>
      <c r="M15" s="13"/>
      <c r="N15" s="48"/>
      <c r="P15" s="7"/>
      <c r="Q15" s="292"/>
      <c r="R15" s="7"/>
    </row>
    <row r="16" spans="1:18" s="14" customFormat="1" ht="15" customHeight="1" x14ac:dyDescent="0.15">
      <c r="A16" s="10"/>
      <c r="B16" s="356" t="s">
        <v>110</v>
      </c>
      <c r="C16" s="357"/>
      <c r="D16" s="357"/>
      <c r="E16" s="354" t="s">
        <v>111</v>
      </c>
      <c r="F16" s="355"/>
      <c r="G16" s="316" t="s">
        <v>112</v>
      </c>
      <c r="H16" s="28" t="s">
        <v>6</v>
      </c>
      <c r="I16" s="317" t="s">
        <v>113</v>
      </c>
      <c r="J16" s="27" t="s">
        <v>21</v>
      </c>
      <c r="K16" s="356" t="s">
        <v>114</v>
      </c>
      <c r="L16" s="365"/>
      <c r="M16" s="330" t="s">
        <v>22</v>
      </c>
      <c r="N16" s="25" t="s">
        <v>12</v>
      </c>
      <c r="O16" s="328" t="s">
        <v>7</v>
      </c>
      <c r="P16" s="329"/>
      <c r="Q16" s="292"/>
      <c r="R16" s="162"/>
    </row>
    <row r="17" spans="1:35" s="14" customFormat="1" ht="19.5" customHeight="1" x14ac:dyDescent="0.15">
      <c r="A17" s="10"/>
      <c r="B17" s="29" t="s">
        <v>16</v>
      </c>
      <c r="C17" s="358"/>
      <c r="D17" s="359"/>
      <c r="E17" s="347"/>
      <c r="F17" s="348"/>
      <c r="G17" s="230"/>
      <c r="H17" s="59">
        <f ca="1">データ1!F27</f>
        <v>0</v>
      </c>
      <c r="I17" s="49"/>
      <c r="J17" s="51">
        <f ca="1">データ1!N3</f>
        <v>0</v>
      </c>
      <c r="K17" s="351"/>
      <c r="L17" s="348"/>
      <c r="M17" s="331">
        <f ca="1">E17+H17+J17+K17</f>
        <v>0</v>
      </c>
      <c r="N17" s="50">
        <f ca="1">IF(M17=0,0,INDEX(データ1!$J$57:$J$60,MATCH(M17,データ1!$I$57:$I$60,1)))</f>
        <v>0</v>
      </c>
      <c r="O17" s="337">
        <f ca="1">IF(ISBLANK(データ1!A10),"",IF(データ1!A10&lt;0,0,データ1!A10))*IF(M64="",1,0)</f>
        <v>0</v>
      </c>
      <c r="P17" s="338"/>
    </row>
    <row r="18" spans="1:35" ht="19.5" customHeight="1" x14ac:dyDescent="0.15">
      <c r="A18" s="4"/>
      <c r="B18" s="29" t="s">
        <v>17</v>
      </c>
      <c r="C18" s="358"/>
      <c r="D18" s="359"/>
      <c r="E18" s="347"/>
      <c r="F18" s="348"/>
      <c r="G18" s="230"/>
      <c r="H18" s="59">
        <f ca="1">データ1!F28</f>
        <v>0</v>
      </c>
      <c r="I18" s="49"/>
      <c r="J18" s="51">
        <f ca="1">データ1!N4</f>
        <v>0</v>
      </c>
      <c r="K18" s="351"/>
      <c r="L18" s="348"/>
      <c r="M18" s="331">
        <f ca="1">E18+H18+J18+K18</f>
        <v>0</v>
      </c>
      <c r="N18" s="50">
        <f ca="1">IF(M18=0,0,INDEX(データ1!$J$57:$J$60,MATCH(M18,データ1!$I$57:$I$60,1)))</f>
        <v>0</v>
      </c>
      <c r="O18" s="337">
        <f ca="1">IF(ISBLANK(データ1!A11),"",IF(データ1!A11&lt;0,0,データ1!A11))*IF(M65="",1,0)</f>
        <v>0</v>
      </c>
      <c r="P18" s="339"/>
      <c r="R18"/>
      <c r="AI18" s="6"/>
    </row>
    <row r="19" spans="1:35" ht="19.5" customHeight="1" x14ac:dyDescent="0.15">
      <c r="A19" s="15"/>
      <c r="B19" s="29" t="s">
        <v>18</v>
      </c>
      <c r="C19" s="358"/>
      <c r="D19" s="359"/>
      <c r="E19" s="347"/>
      <c r="F19" s="348"/>
      <c r="G19" s="230"/>
      <c r="H19" s="59">
        <f ca="1">データ1!F29</f>
        <v>0</v>
      </c>
      <c r="I19" s="49"/>
      <c r="J19" s="51">
        <f ca="1">データ1!N5</f>
        <v>0</v>
      </c>
      <c r="K19" s="351"/>
      <c r="L19" s="348"/>
      <c r="M19" s="331">
        <f ca="1">E19+H19+J19+K19</f>
        <v>0</v>
      </c>
      <c r="N19" s="50">
        <f ca="1">IF(M19=0,0,INDEX(データ1!$J$57:$J$60,MATCH(M19,データ1!$I$57:$I$60,1)))</f>
        <v>0</v>
      </c>
      <c r="O19" s="337">
        <f ca="1">IF(ISBLANK(データ1!A12),"",IF(データ1!A12&lt;0,0,データ1!A12))*IF(M66="",1,0)</f>
        <v>0</v>
      </c>
      <c r="P19" s="338"/>
      <c r="R19"/>
      <c r="AI19" s="6"/>
    </row>
    <row r="20" spans="1:35" ht="19.5" customHeight="1" x14ac:dyDescent="0.15">
      <c r="A20" s="15"/>
      <c r="B20" s="29" t="s">
        <v>19</v>
      </c>
      <c r="C20" s="358"/>
      <c r="D20" s="359"/>
      <c r="E20" s="347"/>
      <c r="F20" s="348"/>
      <c r="G20" s="230"/>
      <c r="H20" s="59">
        <f ca="1">データ1!F30</f>
        <v>0</v>
      </c>
      <c r="I20" s="49"/>
      <c r="J20" s="51">
        <f ca="1">データ1!N6</f>
        <v>0</v>
      </c>
      <c r="K20" s="351"/>
      <c r="L20" s="348"/>
      <c r="M20" s="331">
        <f ca="1">E20+H20+J20+K20</f>
        <v>0</v>
      </c>
      <c r="N20" s="50">
        <f ca="1">IF(M20=0,0,INDEX(データ1!$J$57:$J$60,MATCH(M20,データ1!$I$57:$I$60,1)))</f>
        <v>0</v>
      </c>
      <c r="O20" s="337">
        <f ca="1">IF(ISBLANK(データ1!A13),"",IF(データ1!A13&lt;0,0,データ1!A13))*IF(M67="",1,0)</f>
        <v>0</v>
      </c>
      <c r="P20" s="339"/>
      <c r="R20"/>
      <c r="AI20" s="6"/>
    </row>
    <row r="21" spans="1:35" ht="19.5" customHeight="1" x14ac:dyDescent="0.15">
      <c r="A21" s="4"/>
      <c r="B21" s="29" t="s">
        <v>20</v>
      </c>
      <c r="C21" s="358"/>
      <c r="D21" s="359"/>
      <c r="E21" s="347"/>
      <c r="F21" s="348"/>
      <c r="G21" s="231"/>
      <c r="H21" s="59">
        <f ca="1">データ1!F31</f>
        <v>0</v>
      </c>
      <c r="I21" s="49"/>
      <c r="J21" s="51">
        <f ca="1">データ1!N7</f>
        <v>0</v>
      </c>
      <c r="K21" s="351"/>
      <c r="L21" s="348"/>
      <c r="M21" s="331">
        <f ca="1">E21+H21+J21+K21</f>
        <v>0</v>
      </c>
      <c r="N21" s="50">
        <f ca="1">IF(M21=0,0,INDEX(データ1!$J$57:$J$60,MATCH(M21,データ1!$I$57:$I$60,1)))</f>
        <v>0</v>
      </c>
      <c r="O21" s="337">
        <f ca="1">IF(ISBLANK(データ1!A14),"",IF(データ1!A14&lt;0,0,データ1!A14))*IF(M68="",1,0)</f>
        <v>0</v>
      </c>
      <c r="P21" s="339"/>
      <c r="R21"/>
      <c r="AI21" s="6"/>
    </row>
    <row r="22" spans="1:35" ht="15" customHeight="1" x14ac:dyDescent="0.15">
      <c r="A22" s="4"/>
      <c r="B22" s="5"/>
      <c r="C22" s="61">
        <f>COUNTA(C17:C21)</f>
        <v>0</v>
      </c>
      <c r="D22" s="61"/>
      <c r="E22" s="20"/>
      <c r="F22" s="20"/>
      <c r="G22" s="19"/>
      <c r="H22" s="19"/>
      <c r="J22" s="21"/>
      <c r="K22" s="17"/>
      <c r="L22" s="17"/>
      <c r="M22" s="60"/>
      <c r="N22" s="16"/>
      <c r="O22" s="5"/>
      <c r="P22" s="332" t="s">
        <v>132</v>
      </c>
      <c r="Q22" s="289"/>
      <c r="R22"/>
    </row>
    <row r="23" spans="1:35" s="14" customFormat="1" ht="18" customHeight="1" x14ac:dyDescent="0.15">
      <c r="A23" s="4"/>
      <c r="B23" s="370"/>
      <c r="C23" s="371"/>
      <c r="D23" s="389" t="s">
        <v>0</v>
      </c>
      <c r="E23" s="380"/>
      <c r="F23" s="380"/>
      <c r="G23" s="390"/>
      <c r="H23" s="379" t="s">
        <v>141</v>
      </c>
      <c r="I23" s="380"/>
      <c r="J23" s="380"/>
      <c r="K23" s="376" t="s">
        <v>2</v>
      </c>
      <c r="L23" s="377"/>
      <c r="M23" s="378"/>
      <c r="N23" s="255" t="s">
        <v>14</v>
      </c>
      <c r="O23" s="345" t="s">
        <v>123</v>
      </c>
      <c r="P23" s="296" t="s">
        <v>124</v>
      </c>
      <c r="Q23" s="289"/>
      <c r="R23"/>
    </row>
    <row r="24" spans="1:35" ht="18" customHeight="1" x14ac:dyDescent="0.15">
      <c r="A24" s="4"/>
      <c r="B24" s="372"/>
      <c r="C24" s="373"/>
      <c r="D24" s="270" t="s">
        <v>7</v>
      </c>
      <c r="E24" s="386" t="s">
        <v>8</v>
      </c>
      <c r="F24" s="387"/>
      <c r="G24" s="271" t="s">
        <v>10</v>
      </c>
      <c r="H24" s="253" t="s">
        <v>70</v>
      </c>
      <c r="I24" s="26" t="s">
        <v>9</v>
      </c>
      <c r="J24" s="253" t="s">
        <v>11</v>
      </c>
      <c r="K24" s="367" t="s">
        <v>73</v>
      </c>
      <c r="L24" s="368"/>
      <c r="M24" s="273" t="s">
        <v>72</v>
      </c>
      <c r="N24" s="256"/>
      <c r="O24" s="345"/>
      <c r="P24" s="17" t="s">
        <v>125</v>
      </c>
      <c r="Q24" s="289"/>
      <c r="R24"/>
    </row>
    <row r="25" spans="1:35" ht="18" customHeight="1" x14ac:dyDescent="0.15">
      <c r="A25" s="4"/>
      <c r="B25" s="372"/>
      <c r="C25" s="373"/>
      <c r="D25" s="272" t="s">
        <v>115</v>
      </c>
      <c r="E25" s="374" t="s">
        <v>116</v>
      </c>
      <c r="F25" s="375"/>
      <c r="G25" s="273" t="s">
        <v>117</v>
      </c>
      <c r="H25" s="257" t="s">
        <v>118</v>
      </c>
      <c r="I25" s="258" t="s">
        <v>119</v>
      </c>
      <c r="J25" s="257" t="s">
        <v>120</v>
      </c>
      <c r="K25" s="278"/>
      <c r="L25" s="259"/>
      <c r="M25" s="273" t="s">
        <v>121</v>
      </c>
      <c r="N25" s="260" t="s">
        <v>122</v>
      </c>
      <c r="O25" s="345"/>
      <c r="P25" s="17" t="s">
        <v>126</v>
      </c>
      <c r="Q25" s="333"/>
      <c r="R25"/>
    </row>
    <row r="26" spans="1:35" ht="18" customHeight="1" x14ac:dyDescent="0.15">
      <c r="A26" s="4"/>
      <c r="B26" s="352" t="s">
        <v>4</v>
      </c>
      <c r="C26" s="353"/>
      <c r="D26" s="274">
        <f ca="1">SUM(O17:O21)</f>
        <v>0</v>
      </c>
      <c r="E26" s="349">
        <f>VLOOKUP(G14,データ2!B:F,2)</f>
        <v>7.0800000000000002E-2</v>
      </c>
      <c r="F26" s="350"/>
      <c r="G26" s="275">
        <f ca="1">ROUNDDOWN(D26*E26,0)</f>
        <v>0</v>
      </c>
      <c r="H26" s="261">
        <f>VLOOKUP(G14,データ2!B:F,3)</f>
        <v>28300</v>
      </c>
      <c r="I26" s="262">
        <f>COUNTA(C17:C21)</f>
        <v>0</v>
      </c>
      <c r="J26" s="263">
        <f>H26*I26-H26*データ1!A30/2</f>
        <v>0</v>
      </c>
      <c r="K26" s="279">
        <f>VLOOKUP(G14,データ2!B:F,4,TRUE)</f>
        <v>20500</v>
      </c>
      <c r="L26" s="264" t="s">
        <v>71</v>
      </c>
      <c r="M26" s="280">
        <f>K26</f>
        <v>20500</v>
      </c>
      <c r="N26" s="265">
        <f>IF(I26=0,0,ROUNDDOWN(MIN(INT(G26+J26+M26),データ2!F8),-2))</f>
        <v>0</v>
      </c>
      <c r="O26" s="324">
        <f>データ2!F8/10000</f>
        <v>67</v>
      </c>
      <c r="P26" s="227"/>
      <c r="Q26" s="5"/>
      <c r="R26" s="5"/>
    </row>
    <row r="27" spans="1:35" ht="18" customHeight="1" x14ac:dyDescent="0.15">
      <c r="A27" s="4"/>
      <c r="B27" s="345" t="s">
        <v>133</v>
      </c>
      <c r="C27" s="346"/>
      <c r="D27" s="274">
        <f ca="1">SUM(O17:O21)</f>
        <v>0</v>
      </c>
      <c r="E27" s="349">
        <f>VLOOKUP(G14,データ2!H:L,2)</f>
        <v>2.5000000000000001E-2</v>
      </c>
      <c r="F27" s="350"/>
      <c r="G27" s="275">
        <f ca="1">ROUNDDOWN(D27*E27,0)</f>
        <v>0</v>
      </c>
      <c r="H27" s="261">
        <f>VLOOKUP(G14,データ2!H:L,3)</f>
        <v>11000</v>
      </c>
      <c r="I27" s="262">
        <f>COUNTA(C17:C21)</f>
        <v>0</v>
      </c>
      <c r="J27" s="263">
        <f>H27*I27-H27*データ1!A30/2</f>
        <v>0</v>
      </c>
      <c r="K27" s="279">
        <f>VLOOKUP(G14,データ2!H:L,4)</f>
        <v>7500</v>
      </c>
      <c r="L27" s="264" t="s">
        <v>71</v>
      </c>
      <c r="M27" s="280">
        <f>K27</f>
        <v>7500</v>
      </c>
      <c r="N27" s="265">
        <f>IF(I27=0,0,ROUNDDOWN(MIN(INT(G27+J27+M27),データ2!L8),-2))</f>
        <v>0</v>
      </c>
      <c r="O27" s="324">
        <f>データ2!L8/10000</f>
        <v>26</v>
      </c>
      <c r="P27" s="227"/>
      <c r="Q27" s="5"/>
      <c r="R27" s="5"/>
    </row>
    <row r="28" spans="1:35" ht="18" customHeight="1" x14ac:dyDescent="0.15">
      <c r="A28" s="4"/>
      <c r="B28" s="367" t="s">
        <v>5</v>
      </c>
      <c r="C28" s="369"/>
      <c r="D28" s="276">
        <f>SUM(データ1!A20:A24)</f>
        <v>0</v>
      </c>
      <c r="E28" s="382">
        <f>VLOOKUP(G14,データ2!N:R,2)</f>
        <v>1.7399999999999999E-2</v>
      </c>
      <c r="F28" s="383"/>
      <c r="G28" s="277">
        <f>ROUNDDOWN(D28*E28,0)</f>
        <v>0</v>
      </c>
      <c r="H28" s="266">
        <f>VLOOKUP(G14,データ2!N:R,3)</f>
        <v>11000</v>
      </c>
      <c r="I28" s="267">
        <f>COUNTIF(C17:C21,"40歳以上65歳未満")</f>
        <v>0</v>
      </c>
      <c r="J28" s="268">
        <f>H28*I28</f>
        <v>0</v>
      </c>
      <c r="K28" s="281">
        <f>VLOOKUP(G14,データ2!N:R,4)</f>
        <v>6200</v>
      </c>
      <c r="L28" s="269" t="str">
        <f>IF(I28=0,"不要","要")</f>
        <v>不要</v>
      </c>
      <c r="M28" s="282">
        <f>IF(I28=0,0,K28)</f>
        <v>0</v>
      </c>
      <c r="N28" s="265">
        <f>IF(I28=0,0,ROUNDDOWN(MIN(INT(G28+J28+M28),データ2!R8),-2))</f>
        <v>0</v>
      </c>
      <c r="O28" s="324">
        <f>データ2!R7/10000</f>
        <v>17</v>
      </c>
      <c r="P28" s="227"/>
      <c r="Q28" s="18"/>
      <c r="R28" s="18"/>
    </row>
    <row r="29" spans="1:35" ht="18" customHeight="1" x14ac:dyDescent="0.15">
      <c r="A29" s="4"/>
      <c r="B29" s="346" t="s">
        <v>134</v>
      </c>
      <c r="C29" s="366"/>
      <c r="D29" s="283">
        <f ca="1">SUM(O17:O21)</f>
        <v>0</v>
      </c>
      <c r="E29" s="349">
        <f>VLOOKUP(G14,データ2!T:Y,2)</f>
        <v>2.8999999999999998E-3</v>
      </c>
      <c r="F29" s="350"/>
      <c r="G29" s="275">
        <f ca="1">ROUNDDOWN(D29*E29,0)</f>
        <v>0</v>
      </c>
      <c r="H29" s="261">
        <f>VLOOKUP(G14,データ2!T:Y,3)</f>
        <v>1500</v>
      </c>
      <c r="I29" s="284">
        <f>COUNTIF(C17:C21,"66歳以上")+COUNTIF(C17:C21,"65歳")+COUNTIF(C17:C21,"40歳以上65歳未満")+COUNTIF(C17:C21,"40歳未満")</f>
        <v>0</v>
      </c>
      <c r="J29" s="285">
        <f>H29*I29</f>
        <v>0</v>
      </c>
      <c r="K29" s="279">
        <f>VLOOKUP(G14,データ2!T:Y,4)</f>
        <v>900</v>
      </c>
      <c r="L29" s="264" t="s">
        <v>71</v>
      </c>
      <c r="M29" s="275">
        <f>K29</f>
        <v>900</v>
      </c>
      <c r="N29" s="265">
        <f>IF(I29=0,0,ROUNDDOWN(MIN(INT(G29+J29+M29),データ2!X8),-2))</f>
        <v>0</v>
      </c>
      <c r="O29" s="324">
        <f>データ2!X8/10000</f>
        <v>3</v>
      </c>
      <c r="P29" s="227"/>
      <c r="Q29" s="18"/>
      <c r="R29" s="18"/>
    </row>
    <row r="30" spans="1:35" ht="18" customHeight="1" thickBot="1" x14ac:dyDescent="0.2">
      <c r="A30" s="10"/>
      <c r="B30" s="62"/>
      <c r="C30" s="63"/>
      <c r="D30" s="63"/>
      <c r="E30" s="64"/>
      <c r="F30" s="64"/>
      <c r="G30" s="64"/>
      <c r="H30" s="254" t="s">
        <v>140</v>
      </c>
      <c r="I30" s="246"/>
      <c r="J30" s="247"/>
      <c r="L30" s="62"/>
      <c r="M30" s="62"/>
      <c r="N30" s="65" t="s">
        <v>25</v>
      </c>
      <c r="O30" s="65"/>
      <c r="P30" s="227"/>
      <c r="Q30" s="5"/>
      <c r="R30" s="5"/>
    </row>
    <row r="31" spans="1:35" ht="18" customHeight="1" thickBot="1" x14ac:dyDescent="0.2">
      <c r="A31" s="10"/>
      <c r="B31" s="296" t="s">
        <v>97</v>
      </c>
      <c r="C31" s="303"/>
      <c r="D31" s="303"/>
      <c r="E31" s="68"/>
      <c r="F31" s="304"/>
      <c r="H31" s="224"/>
      <c r="I31" s="220"/>
      <c r="J31" s="66"/>
      <c r="K31" s="385" t="s">
        <v>98</v>
      </c>
      <c r="L31" s="385"/>
      <c r="M31" s="388"/>
      <c r="N31" s="313">
        <f>IF(I26=0,0,N26+N27+N28+N29)</f>
        <v>0</v>
      </c>
      <c r="O31" s="307" t="s">
        <v>99</v>
      </c>
      <c r="P31" s="5"/>
      <c r="Q31" s="5"/>
      <c r="R31" s="5"/>
    </row>
    <row r="32" spans="1:35" ht="18" customHeight="1" thickBot="1" x14ac:dyDescent="0.2">
      <c r="A32" s="10"/>
      <c r="B32" s="296" t="s">
        <v>100</v>
      </c>
      <c r="C32" s="305"/>
      <c r="D32" s="305"/>
      <c r="E32" s="68"/>
      <c r="F32" s="304"/>
      <c r="H32" s="62"/>
      <c r="I32" s="67"/>
      <c r="J32" s="68"/>
      <c r="K32" s="69"/>
      <c r="L32" s="69"/>
      <c r="M32" s="70"/>
      <c r="N32" s="62"/>
      <c r="O32" s="62"/>
      <c r="P32" s="19"/>
      <c r="Q32" s="19"/>
      <c r="R32" s="19"/>
    </row>
    <row r="33" spans="1:41" ht="18" customHeight="1" thickBot="1" x14ac:dyDescent="0.2">
      <c r="A33" s="24"/>
      <c r="B33" s="296" t="s">
        <v>101</v>
      </c>
      <c r="C33" s="305"/>
      <c r="D33" s="305"/>
      <c r="E33" s="68"/>
      <c r="F33" s="304"/>
      <c r="G33" s="62"/>
      <c r="H33" s="319"/>
      <c r="I33" s="320"/>
      <c r="J33" s="314"/>
      <c r="K33" s="385" t="s">
        <v>102</v>
      </c>
      <c r="L33" s="385"/>
      <c r="M33" s="385"/>
      <c r="N33" s="318">
        <f>ROUNDUP(N31/12,0)</f>
        <v>0</v>
      </c>
      <c r="O33" s="315"/>
      <c r="P33" s="5"/>
      <c r="Q33" s="5"/>
      <c r="R33" s="5"/>
    </row>
    <row r="34" spans="1:41" ht="18" customHeight="1" x14ac:dyDescent="0.15">
      <c r="A34" s="24"/>
      <c r="B34" s="296" t="s">
        <v>103</v>
      </c>
      <c r="C34" s="305"/>
      <c r="D34" s="305"/>
      <c r="E34" s="68"/>
      <c r="F34" s="304"/>
      <c r="G34" s="62"/>
      <c r="H34" s="319"/>
      <c r="I34" s="320"/>
      <c r="J34" s="314"/>
      <c r="K34" s="62"/>
      <c r="L34" s="62"/>
      <c r="M34" s="257"/>
      <c r="N34" s="62"/>
      <c r="O34" s="314"/>
      <c r="P34" s="5"/>
      <c r="Q34" s="5"/>
      <c r="R34" s="5"/>
    </row>
    <row r="35" spans="1:41" ht="18" customHeight="1" x14ac:dyDescent="0.15">
      <c r="A35" s="24"/>
      <c r="B35" s="296" t="s">
        <v>104</v>
      </c>
      <c r="C35" s="305"/>
      <c r="D35" s="305"/>
      <c r="E35" s="68"/>
      <c r="F35" s="304"/>
      <c r="G35" s="47"/>
      <c r="H35" s="47"/>
      <c r="I35" s="71"/>
      <c r="J35" s="72"/>
      <c r="K35" s="381" t="s">
        <v>109</v>
      </c>
      <c r="L35" s="381"/>
      <c r="M35" s="381"/>
      <c r="N35" s="307"/>
      <c r="O35" s="47"/>
      <c r="P35" s="5"/>
      <c r="Q35" s="5"/>
      <c r="R35" s="5"/>
    </row>
    <row r="36" spans="1:41" ht="18" customHeight="1" x14ac:dyDescent="0.15">
      <c r="A36" s="24"/>
      <c r="B36" s="296" t="s">
        <v>105</v>
      </c>
      <c r="C36" s="305"/>
      <c r="D36" s="305"/>
      <c r="E36" s="68"/>
      <c r="F36" s="304"/>
      <c r="G36" s="47"/>
      <c r="H36" s="47"/>
      <c r="I36" s="47"/>
      <c r="J36" s="47"/>
      <c r="K36" s="309" t="s">
        <v>106</v>
      </c>
      <c r="L36" s="310"/>
      <c r="M36" s="311" t="s">
        <v>107</v>
      </c>
      <c r="N36" s="308" t="str">
        <f>IF(L36="","",ROUNDDOWN(N33*O36,-2))</f>
        <v/>
      </c>
      <c r="O36" s="340">
        <f>IF(L36="",,VLOOKUP(L36,データ1!I42:J53,2,FALSE))</f>
        <v>0</v>
      </c>
      <c r="P36" s="5"/>
      <c r="Q36" s="5"/>
      <c r="R36" s="5"/>
    </row>
    <row r="37" spans="1:41" ht="15" customHeight="1" x14ac:dyDescent="0.15">
      <c r="A37" s="24"/>
      <c r="B37" s="296" t="s">
        <v>108</v>
      </c>
      <c r="C37" s="305"/>
      <c r="D37" s="305"/>
      <c r="E37" s="312"/>
      <c r="F37" s="312"/>
      <c r="G37" s="47"/>
      <c r="H37" s="47"/>
      <c r="I37" s="71"/>
      <c r="J37" s="47"/>
      <c r="K37" s="306"/>
      <c r="L37" s="306"/>
      <c r="N37" s="307"/>
      <c r="O37" s="72"/>
      <c r="P37" s="5"/>
      <c r="Q37" s="5"/>
      <c r="R37" s="5"/>
    </row>
    <row r="38" spans="1:41" ht="15" customHeight="1" x14ac:dyDescent="0.15">
      <c r="A38" s="24"/>
      <c r="B38" s="296" t="s">
        <v>135</v>
      </c>
      <c r="C38" s="305"/>
      <c r="D38" s="305"/>
      <c r="E38" s="312"/>
      <c r="F38" s="312"/>
      <c r="G38" s="321"/>
      <c r="H38" s="321"/>
      <c r="I38" s="321"/>
      <c r="J38" s="321"/>
      <c r="K38" s="384"/>
      <c r="L38" s="384"/>
      <c r="M38" s="73"/>
      <c r="N38" s="74"/>
      <c r="O38" s="73"/>
      <c r="P38" s="5"/>
      <c r="Q38" s="5"/>
      <c r="R38" s="5"/>
    </row>
    <row r="39" spans="1:41" ht="15" customHeight="1" x14ac:dyDescent="0.15">
      <c r="A39" s="24"/>
      <c r="B39" s="296"/>
      <c r="C39" s="305"/>
      <c r="D39" s="305"/>
      <c r="E39" s="312"/>
      <c r="F39" s="312"/>
      <c r="G39" s="321"/>
      <c r="H39" s="321"/>
      <c r="I39" s="321"/>
      <c r="J39" s="321"/>
      <c r="K39" s="341"/>
      <c r="L39" s="341"/>
      <c r="M39" s="73"/>
      <c r="N39" s="74"/>
      <c r="O39" s="73"/>
      <c r="P39" s="5"/>
      <c r="Q39" s="5"/>
      <c r="R39" s="5"/>
    </row>
    <row r="40" spans="1:41" ht="15" customHeight="1" x14ac:dyDescent="0.15">
      <c r="A40" s="342"/>
      <c r="B40" s="296" t="s">
        <v>131</v>
      </c>
      <c r="C40" s="305"/>
      <c r="D40" s="305"/>
      <c r="E40" s="312"/>
      <c r="F40" s="312"/>
      <c r="G40" s="321"/>
      <c r="H40" s="321"/>
      <c r="I40" s="321"/>
      <c r="J40" s="321"/>
      <c r="K40" s="323"/>
      <c r="L40" s="323"/>
      <c r="M40" s="323"/>
      <c r="N40" s="343"/>
      <c r="O40" s="343"/>
      <c r="P40" s="5"/>
      <c r="Q40" s="5"/>
      <c r="R40" s="5"/>
    </row>
    <row r="41" spans="1:41" ht="15.75" customHeight="1" x14ac:dyDescent="0.15">
      <c r="A41" s="4"/>
      <c r="B41" s="321"/>
      <c r="C41" s="305"/>
      <c r="D41" s="305"/>
      <c r="E41" s="68"/>
      <c r="F41" s="304"/>
      <c r="G41" s="321"/>
      <c r="H41" s="321"/>
      <c r="I41" s="321"/>
      <c r="J41" s="321"/>
      <c r="K41" s="322"/>
      <c r="L41" s="322"/>
      <c r="M41" s="322"/>
      <c r="N41" s="322"/>
      <c r="O41" s="322"/>
      <c r="P41" s="5"/>
      <c r="Q41" s="5"/>
      <c r="R41" s="5"/>
    </row>
    <row r="42" spans="1:41" ht="15.75" customHeight="1" x14ac:dyDescent="0.15">
      <c r="A42" s="4"/>
      <c r="B42" s="321"/>
      <c r="C42" s="321"/>
      <c r="D42" s="321"/>
      <c r="E42" s="321"/>
      <c r="F42" s="321"/>
      <c r="G42" s="321"/>
      <c r="H42" s="321"/>
      <c r="I42" s="321"/>
      <c r="J42" s="321"/>
      <c r="K42" s="229"/>
      <c r="L42" s="229"/>
      <c r="M42" s="229"/>
      <c r="N42" s="229"/>
      <c r="O42" s="229"/>
      <c r="P42" s="5"/>
      <c r="Q42" s="5"/>
      <c r="R42" s="5"/>
      <c r="AJ42" s="228"/>
    </row>
    <row r="43" spans="1:41" ht="15.75" customHeight="1" x14ac:dyDescent="0.15">
      <c r="A43" s="4"/>
      <c r="B43" s="321"/>
      <c r="C43" s="321"/>
      <c r="D43" s="321"/>
      <c r="E43" s="321"/>
      <c r="F43" s="321"/>
      <c r="G43" s="321"/>
      <c r="H43" s="321"/>
      <c r="I43" s="321"/>
      <c r="J43" s="321"/>
      <c r="K43" s="229"/>
      <c r="L43" s="229"/>
      <c r="M43" s="229"/>
      <c r="N43" s="229"/>
      <c r="O43" s="229"/>
      <c r="P43" s="5"/>
      <c r="Q43" s="5"/>
      <c r="R43" s="5"/>
      <c r="AJ43" s="228"/>
    </row>
    <row r="44" spans="1:41" ht="15.75" customHeight="1" x14ac:dyDescent="0.15">
      <c r="A44" s="4"/>
      <c r="B44" s="5"/>
      <c r="AJ44" s="228"/>
    </row>
    <row r="45" spans="1:41" ht="15.75" customHeight="1" x14ac:dyDescent="0.15">
      <c r="A45" s="4"/>
      <c r="B45" s="5"/>
      <c r="AJ45" s="228"/>
    </row>
    <row r="46" spans="1:41" ht="26.25" customHeight="1" x14ac:dyDescent="0.15">
      <c r="A46" s="4"/>
      <c r="B46" s="5"/>
      <c r="AJ46" s="228"/>
    </row>
    <row r="47" spans="1:41" ht="15" customHeight="1" x14ac:dyDescent="0.15">
      <c r="A47" s="4"/>
      <c r="B47" s="5"/>
      <c r="AJ47" s="228"/>
      <c r="AK47" s="228"/>
      <c r="AL47" s="228"/>
      <c r="AM47" s="228"/>
      <c r="AN47" s="228"/>
      <c r="AO47" s="228"/>
    </row>
    <row r="48" spans="1:41" ht="15" customHeight="1" x14ac:dyDescent="0.15">
      <c r="A48" s="4"/>
      <c r="B48" s="5"/>
    </row>
    <row r="49" spans="1:39" ht="15" customHeight="1" x14ac:dyDescent="0.15">
      <c r="A49" s="4"/>
      <c r="B49" s="5"/>
    </row>
    <row r="50" spans="1:39" ht="15" customHeight="1" x14ac:dyDescent="0.15">
      <c r="A50" s="4"/>
    </row>
    <row r="51" spans="1:39" ht="15" customHeight="1" x14ac:dyDescent="0.15">
      <c r="A51" s="4"/>
    </row>
    <row r="52" spans="1:39" ht="15" customHeight="1" x14ac:dyDescent="0.15">
      <c r="A52" s="4"/>
    </row>
    <row r="53" spans="1:39" ht="15" customHeight="1" x14ac:dyDescent="0.15">
      <c r="A53" s="4"/>
    </row>
    <row r="54" spans="1:39" ht="15" customHeight="1" x14ac:dyDescent="0.15">
      <c r="A54" s="4"/>
      <c r="AJ54" s="22"/>
      <c r="AK54" s="22"/>
      <c r="AL54" s="22"/>
      <c r="AM54" s="22"/>
    </row>
    <row r="55" spans="1:39" s="22" customFormat="1" ht="15" customHeight="1" x14ac:dyDescent="0.15">
      <c r="A55" s="4"/>
      <c r="B55" s="6"/>
      <c r="C55" s="6"/>
      <c r="D55" s="6"/>
      <c r="E55" s="6"/>
      <c r="F55" s="6"/>
      <c r="G55" s="6"/>
      <c r="H55" s="6"/>
      <c r="I55" s="8"/>
      <c r="J55" s="6"/>
      <c r="K55" s="6"/>
      <c r="L55" s="6"/>
      <c r="M55" s="6"/>
      <c r="N55" s="6"/>
      <c r="O55" s="6"/>
      <c r="P55" s="6"/>
      <c r="Q55" s="6"/>
      <c r="R55" s="6"/>
      <c r="AJ55" s="6"/>
      <c r="AK55" s="6"/>
      <c r="AL55" s="6"/>
      <c r="AM55" s="6"/>
    </row>
    <row r="56" spans="1:39" ht="15" customHeight="1" x14ac:dyDescent="0.15">
      <c r="A56" s="4"/>
    </row>
    <row r="57" spans="1:39" ht="15" customHeight="1" x14ac:dyDescent="0.15">
      <c r="A57" s="4"/>
    </row>
    <row r="58" spans="1:39" ht="15" customHeight="1" x14ac:dyDescent="0.15">
      <c r="A58" s="4"/>
    </row>
    <row r="59" spans="1:39" ht="15" customHeight="1" x14ac:dyDescent="0.15">
      <c r="A59" s="4"/>
    </row>
    <row r="60" spans="1:39" ht="15" customHeight="1" x14ac:dyDescent="0.15">
      <c r="A60" s="4"/>
    </row>
    <row r="61" spans="1:39" ht="15" customHeight="1" x14ac:dyDescent="0.15">
      <c r="A61" s="4"/>
    </row>
    <row r="62" spans="1:39" ht="15" customHeight="1" x14ac:dyDescent="0.15">
      <c r="A62" s="23"/>
    </row>
    <row r="63" spans="1:39" ht="15" customHeight="1" x14ac:dyDescent="0.15">
      <c r="A63" s="23"/>
    </row>
    <row r="64" spans="1:39" ht="15" customHeight="1" x14ac:dyDescent="0.15">
      <c r="A64" s="23"/>
    </row>
    <row r="65" spans="1:1" ht="15" customHeight="1" x14ac:dyDescent="0.15">
      <c r="A65" s="23"/>
    </row>
    <row r="66" spans="1:1" ht="15" customHeight="1" x14ac:dyDescent="0.15">
      <c r="A66" s="4"/>
    </row>
    <row r="67" spans="1:1" ht="15" customHeight="1" x14ac:dyDescent="0.15"/>
    <row r="68" spans="1:1" ht="15" customHeight="1" x14ac:dyDescent="0.15"/>
    <row r="69" spans="1:1" ht="15" customHeight="1" x14ac:dyDescent="0.15"/>
    <row r="70" spans="1:1" ht="15" customHeight="1" x14ac:dyDescent="0.15"/>
    <row r="71" spans="1:1" ht="15" customHeight="1" x14ac:dyDescent="0.15"/>
    <row r="72" spans="1:1" ht="15" customHeight="1" x14ac:dyDescent="0.15"/>
    <row r="73" spans="1:1" ht="15" customHeight="1" x14ac:dyDescent="0.15"/>
    <row r="74" spans="1:1" ht="15" customHeight="1" x14ac:dyDescent="0.15"/>
    <row r="75" spans="1:1" ht="15" customHeight="1" x14ac:dyDescent="0.15"/>
    <row r="76" spans="1:1" ht="15" customHeight="1" x14ac:dyDescent="0.15"/>
    <row r="77" spans="1:1" ht="18" customHeight="1" x14ac:dyDescent="0.15">
      <c r="A77" s="290"/>
    </row>
    <row r="78" spans="1:1" ht="18" customHeight="1" x14ac:dyDescent="0.15">
      <c r="A78" s="290"/>
    </row>
    <row r="79" spans="1:1" ht="18" customHeight="1" x14ac:dyDescent="0.15">
      <c r="A79" s="290"/>
    </row>
    <row r="80" spans="1:1" ht="18" customHeight="1" x14ac:dyDescent="0.15">
      <c r="A80" s="24"/>
    </row>
    <row r="81" spans="1:1" ht="18" customHeight="1" x14ac:dyDescent="0.15">
      <c r="A81" s="24"/>
    </row>
    <row r="82" spans="1:1" ht="18" customHeight="1" x14ac:dyDescent="0.15">
      <c r="A82" s="24"/>
    </row>
    <row r="83" spans="1:1" ht="18" customHeight="1" x14ac:dyDescent="0.15">
      <c r="A83" s="24"/>
    </row>
    <row r="84" spans="1:1" ht="18" customHeight="1" x14ac:dyDescent="0.15">
      <c r="A84" s="24"/>
    </row>
    <row r="85" spans="1:1" ht="18" customHeight="1" x14ac:dyDescent="0.15">
      <c r="A85" s="24"/>
    </row>
    <row r="86" spans="1:1" ht="18" customHeight="1" x14ac:dyDescent="0.15">
      <c r="A86" s="24"/>
    </row>
    <row r="87" spans="1:1" ht="18" customHeight="1" x14ac:dyDescent="0.15">
      <c r="A87" s="4"/>
    </row>
    <row r="88" spans="1:1" ht="15" customHeight="1" x14ac:dyDescent="0.15">
      <c r="A88" s="4"/>
    </row>
    <row r="89" spans="1:1" ht="15" customHeight="1" x14ac:dyDescent="0.15"/>
    <row r="90" spans="1:1" ht="15" customHeight="1" x14ac:dyDescent="0.15"/>
    <row r="91" spans="1:1" ht="15" customHeight="1" x14ac:dyDescent="0.15"/>
    <row r="92" spans="1:1" ht="15" customHeight="1" x14ac:dyDescent="0.15"/>
    <row r="93" spans="1:1" ht="15" customHeight="1" x14ac:dyDescent="0.15"/>
    <row r="94" spans="1:1" ht="15" customHeight="1" x14ac:dyDescent="0.15"/>
    <row r="95" spans="1:1" ht="15" customHeight="1" x14ac:dyDescent="0.15"/>
    <row r="96" spans="1:1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password="C62D" sheet="1" selectLockedCells="1"/>
  <mergeCells count="43">
    <mergeCell ref="K38:L38"/>
    <mergeCell ref="K33:M33"/>
    <mergeCell ref="E24:F24"/>
    <mergeCell ref="K31:M31"/>
    <mergeCell ref="D23:G23"/>
    <mergeCell ref="O23:O25"/>
    <mergeCell ref="E25:F25"/>
    <mergeCell ref="K23:M23"/>
    <mergeCell ref="H23:J23"/>
    <mergeCell ref="K35:M35"/>
    <mergeCell ref="E28:F28"/>
    <mergeCell ref="C21:D21"/>
    <mergeCell ref="B14:E14"/>
    <mergeCell ref="G14:H14"/>
    <mergeCell ref="E29:F29"/>
    <mergeCell ref="K16:L16"/>
    <mergeCell ref="K21:L21"/>
    <mergeCell ref="E18:F18"/>
    <mergeCell ref="C17:D17"/>
    <mergeCell ref="E20:F20"/>
    <mergeCell ref="K18:L18"/>
    <mergeCell ref="K17:L17"/>
    <mergeCell ref="B29:C29"/>
    <mergeCell ref="K24:L24"/>
    <mergeCell ref="E26:F26"/>
    <mergeCell ref="B28:C28"/>
    <mergeCell ref="B23:C25"/>
    <mergeCell ref="F1:G1"/>
    <mergeCell ref="B27:C27"/>
    <mergeCell ref="E21:F21"/>
    <mergeCell ref="E27:F27"/>
    <mergeCell ref="K20:L20"/>
    <mergeCell ref="K19:L19"/>
    <mergeCell ref="B26:C26"/>
    <mergeCell ref="E16:F16"/>
    <mergeCell ref="B16:D16"/>
    <mergeCell ref="C20:D20"/>
    <mergeCell ref="E17:F17"/>
    <mergeCell ref="C19:D19"/>
    <mergeCell ref="C18:D18"/>
    <mergeCell ref="C8:N8"/>
    <mergeCell ref="C9:N9"/>
    <mergeCell ref="E19:F19"/>
  </mergeCells>
  <phoneticPr fontId="2"/>
  <conditionalFormatting sqref="J33:J34">
    <cfRule type="cellIs" dxfId="28" priority="33" stopIfTrue="1" operator="equal">
      <formula>33000</formula>
    </cfRule>
  </conditionalFormatting>
  <conditionalFormatting sqref="K40:M40">
    <cfRule type="cellIs" dxfId="27" priority="35" stopIfTrue="1" operator="equal">
      <formula>0</formula>
    </cfRule>
  </conditionalFormatting>
  <conditionalFormatting sqref="N27">
    <cfRule type="cellIs" dxfId="26" priority="39" stopIfTrue="1" operator="equal">
      <formula>260000</formula>
    </cfRule>
  </conditionalFormatting>
  <conditionalFormatting sqref="O33">
    <cfRule type="cellIs" dxfId="25" priority="12" stopIfTrue="1" operator="equal">
      <formula>3250</formula>
    </cfRule>
  </conditionalFormatting>
  <conditionalFormatting sqref="N33">
    <cfRule type="cellIs" dxfId="24" priority="10" stopIfTrue="1" operator="equal">
      <formula>3250</formula>
    </cfRule>
  </conditionalFormatting>
  <conditionalFormatting sqref="N26">
    <cfRule type="cellIs" dxfId="23" priority="8" stopIfTrue="1" operator="equal">
      <formula>670000</formula>
    </cfRule>
  </conditionalFormatting>
  <conditionalFormatting sqref="N28">
    <cfRule type="cellIs" dxfId="22" priority="7" stopIfTrue="1" operator="equal">
      <formula>170000</formula>
    </cfRule>
  </conditionalFormatting>
  <conditionalFormatting sqref="N29">
    <cfRule type="cellIs" dxfId="21" priority="6" stopIfTrue="1" operator="equal">
      <formula>30000</formula>
    </cfRule>
  </conditionalFormatting>
  <conditionalFormatting sqref="P17:P18">
    <cfRule type="expression" dxfId="20" priority="2" stopIfTrue="1">
      <formula>$G17&gt;8500000</formula>
    </cfRule>
  </conditionalFormatting>
  <conditionalFormatting sqref="P19:P21">
    <cfRule type="expression" dxfId="19" priority="3" stopIfTrue="1">
      <formula>$G19&gt;8500000</formula>
    </cfRule>
  </conditionalFormatting>
  <conditionalFormatting sqref="O36">
    <cfRule type="cellIs" dxfId="18" priority="1" stopIfTrue="1" operator="equal">
      <formula>0</formula>
    </cfRule>
  </conditionalFormatting>
  <dataValidations xWindow="1060" yWindow="479" count="7">
    <dataValidation imeMode="off" allowBlank="1" showInputMessage="1" showErrorMessage="1" sqref="G14:H14 M17:O21 J17:J21 H17:H21"/>
    <dataValidation type="list" allowBlank="1" showInputMessage="1" showErrorMessage="1" sqref="P17:P21">
      <formula1>"*"</formula1>
    </dataValidation>
    <dataValidation type="list" allowBlank="1" showInputMessage="1" showErrorMessage="1" sqref="L36">
      <formula1>"4,5,6,7,8,9,10,11,12,1,2,3"</formula1>
    </dataValidation>
    <dataValidation type="custom" imeMode="off" showInputMessage="1" showErrorMessage="1" errorTitle="この方の年齢は？" error="年齢欄で、該当する年齢を選んでください！" sqref="E17:E21">
      <formula1>C17&gt;0</formula1>
    </dataValidation>
    <dataValidation type="custom" imeMode="off" showInputMessage="1" showErrorMessage="1" errorTitle="この方の年齢は？" error="年齢欄で、該当する年齢を選んでください！" sqref="G17:G21">
      <formula1>C17&gt;0</formula1>
    </dataValidation>
    <dataValidation type="custom" imeMode="off" showInputMessage="1" showErrorMessage="1" errorTitle="この方の年齢は？" error="年齢欄で、該当する年齢を選んでください！" sqref="I17:I21">
      <formula1>C17&gt;0</formula1>
    </dataValidation>
    <dataValidation type="custom" imeMode="off" allowBlank="1" showInputMessage="1" showErrorMessage="1" errorTitle="この方の年齢は？" error="年齢欄で、該当する年齢を選んでください！" sqref="K17:K21">
      <formula1>C17&gt;0</formula1>
    </dataValidation>
  </dataValidations>
  <printOptions horizontalCentered="1" verticalCentered="1"/>
  <pageMargins left="3.937007874015748E-2" right="3.937007874015748E-2" top="0.55118110236220474" bottom="0.35433070866141736" header="0.31496062992125984" footer="0.11811023622047245"/>
  <pageSetup paperSize="9" scale="88" orientation="landscape" horizontalDpi="300" verticalDpi="300" r:id="rId1"/>
  <headerFooter alignWithMargins="0">
    <oddFooter>&amp;R&amp;D作成</oddFooter>
  </headerFooter>
  <extLst>
    <ext xmlns:x14="http://schemas.microsoft.com/office/spreadsheetml/2009/9/main" uri="{CCE6A557-97BC-4b89-ADB6-D9C93CAAB3DF}">
      <x14:dataValidations xmlns:xm="http://schemas.microsoft.com/office/excel/2006/main" xWindow="1060" yWindow="479" count="1">
        <x14:dataValidation type="list" allowBlank="1" showInputMessage="1" showErrorMessage="1">
          <x14:formula1>
            <xm:f>データ1!$A$3:$A$8</xm:f>
          </x14:formula1>
          <xm:sqref>C17:D21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opLeftCell="A7" workbookViewId="0">
      <selection activeCell="B26" sqref="B26"/>
    </sheetView>
  </sheetViews>
  <sheetFormatPr defaultRowHeight="13.5" x14ac:dyDescent="0.15"/>
  <cols>
    <col min="1" max="1" width="15.625" style="6" customWidth="1"/>
    <col min="2" max="2" width="3.25" style="89" customWidth="1"/>
    <col min="3" max="3" width="15.625" style="95" customWidth="1"/>
    <col min="4" max="5" width="15.625" style="53" customWidth="1"/>
    <col min="6" max="7" width="15.625" style="6" customWidth="1"/>
    <col min="8" max="8" width="4.125" style="6" customWidth="1"/>
    <col min="9" max="14" width="15.625" style="6" customWidth="1"/>
    <col min="15" max="17" width="10.625" style="6" customWidth="1"/>
  </cols>
  <sheetData>
    <row r="1" spans="1:17" ht="14.25" thickBot="1" x14ac:dyDescent="0.2"/>
    <row r="2" spans="1:17" ht="14.25" thickBot="1" x14ac:dyDescent="0.2">
      <c r="A2" s="150" t="s">
        <v>52</v>
      </c>
      <c r="B2" s="87"/>
      <c r="C2" s="96"/>
      <c r="D2" s="107" t="s">
        <v>35</v>
      </c>
      <c r="E2" s="107" t="s">
        <v>36</v>
      </c>
      <c r="F2" s="210" t="s">
        <v>68</v>
      </c>
      <c r="G2" s="325"/>
      <c r="H2" s="205"/>
      <c r="I2" s="131"/>
      <c r="J2" s="140" t="s">
        <v>44</v>
      </c>
      <c r="K2" s="141" t="s">
        <v>45</v>
      </c>
      <c r="L2" s="142" t="s">
        <v>46</v>
      </c>
      <c r="M2" s="214" t="s">
        <v>64</v>
      </c>
      <c r="N2" s="215" t="s">
        <v>47</v>
      </c>
      <c r="Q2" s="292"/>
    </row>
    <row r="3" spans="1:17" x14ac:dyDescent="0.15">
      <c r="A3" s="153" t="s">
        <v>27</v>
      </c>
      <c r="C3" s="100" t="s">
        <v>29</v>
      </c>
      <c r="D3" s="97">
        <f>試算!G17</f>
        <v>0</v>
      </c>
      <c r="E3" s="97">
        <f>INDEX(E8:E15,MATCH(D3,D8:D15,1))</f>
        <v>0</v>
      </c>
      <c r="F3" s="204">
        <f>IF(E3&lt;0,0,E3)</f>
        <v>0</v>
      </c>
      <c r="G3" s="326"/>
      <c r="H3" s="206"/>
      <c r="I3" s="132" t="s">
        <v>37</v>
      </c>
      <c r="J3" s="136" t="str">
        <f>IF(試算!C17="66歳以上","高齢",IF(OR(試算!C17="65歳",試算!C17="40歳以上65歳未満"),"中齢",""))</f>
        <v/>
      </c>
      <c r="K3" s="138">
        <f>試算!I17</f>
        <v>0</v>
      </c>
      <c r="L3" s="134">
        <f ca="1">IF(ISERROR(VLOOKUP(K3,INDIRECT(J3),2)),0,VLOOKUP(K3,INDIRECT(J3),2))</f>
        <v>0</v>
      </c>
      <c r="M3" s="204">
        <f ca="1">IF(L3&gt;0,IF((試算!E17+F3+試算!K17)&gt;20000000,L3+200000,IF(AND((試算!E17+F3+試算!K17)&gt;10000000,(試算!E17+F3+試算!K17)&lt;=200000000),L3+100000,L3)),0)</f>
        <v>0</v>
      </c>
      <c r="N3" s="216">
        <f ca="1">IF(ISBLANK(M3),"",IF(M3&lt;0,0,M3))</f>
        <v>0</v>
      </c>
      <c r="Q3" s="292"/>
    </row>
    <row r="4" spans="1:17" x14ac:dyDescent="0.15">
      <c r="A4" s="58" t="s">
        <v>26</v>
      </c>
      <c r="B4" s="90"/>
      <c r="C4" s="100" t="s">
        <v>30</v>
      </c>
      <c r="D4" s="98">
        <f>試算!G18</f>
        <v>0</v>
      </c>
      <c r="E4" s="98">
        <f>INDEX(E16:E23,MATCH(D4,D16:D23,1))</f>
        <v>0</v>
      </c>
      <c r="F4" s="204">
        <f>IF(E4&lt;0,0,E4)</f>
        <v>0</v>
      </c>
      <c r="G4" s="326"/>
      <c r="H4" s="206"/>
      <c r="I4" s="132" t="s">
        <v>38</v>
      </c>
      <c r="J4" s="136" t="str">
        <f>IF(試算!C18="66歳以上","高齢２",IF(OR(試算!C18="65歳",試算!C18="40歳以上65歳未満"),"中齢２",""))</f>
        <v/>
      </c>
      <c r="K4" s="138">
        <f>試算!I18</f>
        <v>0</v>
      </c>
      <c r="L4" s="336">
        <f ca="1">IF(ISERROR(VLOOKUP(K4,INDIRECT(J4),2)),0,VLOOKUP(K4,INDIRECT(J4),2))</f>
        <v>0</v>
      </c>
      <c r="M4" s="204">
        <f ca="1">IF(L4&gt;0,IF((試算!E18+F4+試算!K18)&gt;20000000,L4+200000,IF(AND((試算!E18+F4+試算!K18)&gt;10000000,(試算!E18+F4+試算!K18)&lt;=200000000),L4+100000,L4)),0)</f>
        <v>0</v>
      </c>
      <c r="N4" s="216">
        <f ca="1">IF(ISBLANK(M4),"",IF(M4&lt;0,0,M4))</f>
        <v>0</v>
      </c>
      <c r="O4" s="14"/>
      <c r="P4" s="14"/>
    </row>
    <row r="5" spans="1:17" x14ac:dyDescent="0.15">
      <c r="A5" s="221" t="s">
        <v>136</v>
      </c>
      <c r="B5" s="90"/>
      <c r="C5" s="100" t="s">
        <v>31</v>
      </c>
      <c r="D5" s="98">
        <f>試算!G19</f>
        <v>0</v>
      </c>
      <c r="E5" s="98">
        <f>INDEX(E24:E31,MATCH(D5,D24:D31,1))</f>
        <v>0</v>
      </c>
      <c r="F5" s="204">
        <f>IF(E5&lt;0,0,E5)</f>
        <v>0</v>
      </c>
      <c r="G5" s="326"/>
      <c r="H5" s="206"/>
      <c r="I5" s="132" t="s">
        <v>39</v>
      </c>
      <c r="J5" s="136" t="str">
        <f>IF(試算!C19="66歳以上","高齢３",IF(OR(試算!C19="65歳",試算!C19="40歳以上65歳未満"),"中齢３",""))</f>
        <v/>
      </c>
      <c r="K5" s="138">
        <f>試算!I19</f>
        <v>0</v>
      </c>
      <c r="L5" s="336">
        <f ca="1">IF(ISERROR(VLOOKUP(K5,INDIRECT(J5),2)),0,VLOOKUP(K5,INDIRECT(J5),2))</f>
        <v>0</v>
      </c>
      <c r="M5" s="204">
        <f ca="1">IF(L5&gt;0,IF((試算!E19+F5+試算!K19)&gt;20000000,L5+200000,IF(AND((試算!E19+F5+試算!K19)&gt;10000000,(試算!E19+F5+試算!K19)&lt;=200000000),L5+100000,L5)),0)</f>
        <v>0</v>
      </c>
      <c r="N5" s="216">
        <f ca="1">IF(ISBLANK(M5),"",IF(M5&lt;0,0,M5))</f>
        <v>0</v>
      </c>
      <c r="O5" s="14"/>
      <c r="P5" s="14"/>
    </row>
    <row r="6" spans="1:17" x14ac:dyDescent="0.15">
      <c r="A6" s="221" t="s">
        <v>74</v>
      </c>
      <c r="B6" s="91"/>
      <c r="C6" s="100" t="s">
        <v>32</v>
      </c>
      <c r="D6" s="97">
        <f>試算!G20</f>
        <v>0</v>
      </c>
      <c r="E6" s="97">
        <f>INDEX(E32:E39,MATCH(D6,D32:D39,1))</f>
        <v>0</v>
      </c>
      <c r="F6" s="204">
        <f>IF(E6&lt;0,0,E6)</f>
        <v>0</v>
      </c>
      <c r="G6" s="326"/>
      <c r="H6" s="206"/>
      <c r="I6" s="132" t="s">
        <v>40</v>
      </c>
      <c r="J6" s="136" t="str">
        <f>IF(試算!C20="66歳以上","高齢４",IF(OR(試算!C20="65歳",試算!C20="40歳以上65歳未満"),"中齢４",""))</f>
        <v/>
      </c>
      <c r="K6" s="138">
        <f>試算!I20</f>
        <v>0</v>
      </c>
      <c r="L6" s="134">
        <f ca="1">IF(ISERROR(VLOOKUP(K6,INDIRECT(J6),2)),0,VLOOKUP(K6,INDIRECT(J6),2))</f>
        <v>0</v>
      </c>
      <c r="M6" s="204">
        <f ca="1">IF(L6&gt;0,IF((試算!E20+F6+試算!K20)&gt;20000000,L6+200000,IF(AND((試算!E20+F6+試算!K20)&gt;10000000,(試算!E20+F6+試算!K20)&lt;=200000000),L6+100000,L6)),0)</f>
        <v>0</v>
      </c>
      <c r="N6" s="216">
        <f ca="1">IF(ISBLANK(M6),"",IF(M6&lt;0,0,M6))</f>
        <v>0</v>
      </c>
    </row>
    <row r="7" spans="1:17" ht="14.25" thickBot="1" x14ac:dyDescent="0.2">
      <c r="A7" s="221" t="s">
        <v>137</v>
      </c>
      <c r="B7" s="91"/>
      <c r="C7" s="101" t="s">
        <v>33</v>
      </c>
      <c r="D7" s="99">
        <f>試算!G21</f>
        <v>0</v>
      </c>
      <c r="E7" s="99">
        <f>INDEX(E40:E47,MATCH(D7,D40:D47,1))</f>
        <v>0</v>
      </c>
      <c r="F7" s="225">
        <f>IF(E7&lt;0,0,E7)</f>
        <v>0</v>
      </c>
      <c r="G7" s="326"/>
      <c r="H7" s="206"/>
      <c r="I7" s="133" t="s">
        <v>41</v>
      </c>
      <c r="J7" s="137" t="str">
        <f>IF(試算!C21="66歳以上","高齢５",IF(OR(試算!C21="65歳",試算!C21="40歳以上65歳未満"),"中齢５",""))</f>
        <v/>
      </c>
      <c r="K7" s="139">
        <f>試算!I21</f>
        <v>0</v>
      </c>
      <c r="L7" s="135">
        <f ca="1">IF(ISERROR(VLOOKUP(K7,INDIRECT(J7),2)),0,VLOOKUP(K7,INDIRECT(J7),2))</f>
        <v>0</v>
      </c>
      <c r="M7" s="204">
        <f ca="1">IF(L7&gt;0,IF((試算!E21+F7+試算!K21)&gt;20000000,L7+200000,IF(AND((試算!E21+F7+試算!K21)&gt;10000000,(試算!E21+F7+試算!K21)&lt;=200000000),L7+100000,L7)),0)</f>
        <v>0</v>
      </c>
      <c r="N7" s="217">
        <f ca="1">IF(ISBLANK(M7),"",IF(M7&lt;0,0,M7))</f>
        <v>0</v>
      </c>
    </row>
    <row r="8" spans="1:17" ht="14.25" thickBot="1" x14ac:dyDescent="0.2">
      <c r="A8" s="222" t="s">
        <v>75</v>
      </c>
      <c r="B8" s="91"/>
      <c r="C8" s="102" t="s">
        <v>29</v>
      </c>
      <c r="D8" s="55">
        <v>0</v>
      </c>
      <c r="E8" s="56">
        <v>0</v>
      </c>
      <c r="F8" s="8" t="s">
        <v>25</v>
      </c>
      <c r="G8" s="327"/>
      <c r="H8" s="9"/>
      <c r="I8" s="113" t="s">
        <v>37</v>
      </c>
      <c r="J8" s="114">
        <v>0</v>
      </c>
      <c r="K8" s="115">
        <f>K3-1100000</f>
        <v>-1100000</v>
      </c>
      <c r="L8" s="116">
        <v>0</v>
      </c>
      <c r="M8" s="117">
        <f>K3-600000</f>
        <v>-600000</v>
      </c>
    </row>
    <row r="9" spans="1:17" ht="14.25" thickBot="1" x14ac:dyDescent="0.2">
      <c r="A9" s="152" t="s">
        <v>60</v>
      </c>
      <c r="B9" s="91"/>
      <c r="C9" s="103" t="s">
        <v>34</v>
      </c>
      <c r="D9" s="55">
        <v>651000</v>
      </c>
      <c r="E9" s="56">
        <f>D3-650000</f>
        <v>-650000</v>
      </c>
      <c r="F9" s="6" t="s">
        <v>66</v>
      </c>
      <c r="G9" s="9"/>
      <c r="H9" s="9"/>
      <c r="I9" s="109" t="s">
        <v>34</v>
      </c>
      <c r="J9" s="81">
        <v>1100000</v>
      </c>
      <c r="K9" s="79">
        <f>K3-1100000</f>
        <v>-1100000</v>
      </c>
      <c r="L9" s="80">
        <v>600000</v>
      </c>
      <c r="M9" s="82">
        <f>K3-600000</f>
        <v>-600000</v>
      </c>
      <c r="Q9" s="292"/>
    </row>
    <row r="10" spans="1:17" x14ac:dyDescent="0.15">
      <c r="A10" s="178">
        <f ca="1">試算!M17-試算!N17</f>
        <v>0</v>
      </c>
      <c r="B10" s="91"/>
      <c r="C10" s="103"/>
      <c r="D10" s="55">
        <v>1900000</v>
      </c>
      <c r="E10" s="56">
        <f>ROUNDDOWN(D3/4,-3)*2.8-80000</f>
        <v>-80000</v>
      </c>
      <c r="F10" s="197" t="s">
        <v>63</v>
      </c>
      <c r="G10" s="198" t="s">
        <v>69</v>
      </c>
      <c r="I10" s="110" t="s">
        <v>42</v>
      </c>
      <c r="J10" s="81">
        <v>3300000</v>
      </c>
      <c r="K10" s="79">
        <f>ROUNDDOWN(K3*0.75-275000,0)</f>
        <v>-275000</v>
      </c>
      <c r="L10" s="80">
        <v>1300000</v>
      </c>
      <c r="M10" s="82">
        <f>ROUNDDOWN(K3*0.75-275000,0)</f>
        <v>-275000</v>
      </c>
    </row>
    <row r="11" spans="1:17" x14ac:dyDescent="0.15">
      <c r="A11" s="179">
        <f ca="1">試算!M18-試算!N18</f>
        <v>0</v>
      </c>
      <c r="B11" s="151"/>
      <c r="C11" s="103"/>
      <c r="D11" s="55">
        <v>3600000</v>
      </c>
      <c r="E11" s="56">
        <f>ROUNDDOWN(D3/4,-3)*3.2-440000</f>
        <v>-440000</v>
      </c>
      <c r="F11" s="191">
        <f ca="1">IF(F3&gt;100000,100000,F3)+IF(試算!J17&gt;100000,100000,試算!J17)</f>
        <v>0</v>
      </c>
      <c r="G11" s="192">
        <f ca="1">IF((F11-100000)&lt;0,0,F11-100000)</f>
        <v>0</v>
      </c>
      <c r="I11" s="110" t="s">
        <v>43</v>
      </c>
      <c r="J11" s="81">
        <v>4100000</v>
      </c>
      <c r="K11" s="79">
        <f>ROUNDDOWN(K3*0.85-685000,0)</f>
        <v>-685000</v>
      </c>
      <c r="L11" s="80">
        <v>4100000</v>
      </c>
      <c r="M11" s="82">
        <f>ROUNDDOWN(K3*0.85-685000,0)</f>
        <v>-685000</v>
      </c>
      <c r="P11" s="14"/>
    </row>
    <row r="12" spans="1:17" x14ac:dyDescent="0.15">
      <c r="A12" s="179">
        <f ca="1">試算!M19-試算!N19</f>
        <v>0</v>
      </c>
      <c r="B12" s="154"/>
      <c r="C12" s="104"/>
      <c r="D12" s="55">
        <v>6600000</v>
      </c>
      <c r="E12" s="56">
        <f>ROUNDDOWN(D3*0.9-1100000,0)</f>
        <v>-1100000</v>
      </c>
      <c r="F12" s="191">
        <f ca="1">IF(F4&gt;100000,100000,F4)+IF(試算!J18&gt;100000,100000,試算!J18)</f>
        <v>0</v>
      </c>
      <c r="G12" s="192">
        <f ca="1">IF((F12-100000)&lt;0,0,F12-100000)</f>
        <v>0</v>
      </c>
      <c r="H12" s="14"/>
      <c r="I12" s="110"/>
      <c r="J12" s="81">
        <v>7700000</v>
      </c>
      <c r="K12" s="79">
        <f>ROUNDDOWN(K3*0.95-1455000,0)</f>
        <v>-1455000</v>
      </c>
      <c r="L12" s="80">
        <v>7700000</v>
      </c>
      <c r="M12" s="82">
        <f>ROUNDDOWN(K3*0.95-1455000,0)</f>
        <v>-1455000</v>
      </c>
      <c r="N12" s="14"/>
      <c r="O12" s="14"/>
    </row>
    <row r="13" spans="1:17" ht="14.25" thickBot="1" x14ac:dyDescent="0.2">
      <c r="A13" s="179">
        <f ca="1">試算!M20-試算!N20</f>
        <v>0</v>
      </c>
      <c r="B13" s="154"/>
      <c r="C13" s="104"/>
      <c r="D13" s="53">
        <v>8500000</v>
      </c>
      <c r="E13" s="56">
        <f>D3-1950000</f>
        <v>-1950000</v>
      </c>
      <c r="F13" s="191">
        <f ca="1">IF(F5&gt;100000,100000,F5)+IF(試算!J19&gt;100000,100000,試算!J19)</f>
        <v>0</v>
      </c>
      <c r="G13" s="192">
        <f ca="1">IF((F13-100000)&lt;0,0,F13-100000)</f>
        <v>0</v>
      </c>
      <c r="I13" s="118"/>
      <c r="J13" s="199">
        <v>10000000</v>
      </c>
      <c r="K13" s="200">
        <f>K3-1955000</f>
        <v>-1955000</v>
      </c>
      <c r="L13" s="201">
        <v>10000000</v>
      </c>
      <c r="M13" s="202">
        <f>K3-1955000</f>
        <v>-1955000</v>
      </c>
      <c r="N13" s="14"/>
    </row>
    <row r="14" spans="1:17" ht="14.25" thickBot="1" x14ac:dyDescent="0.2">
      <c r="A14" s="180">
        <f ca="1">試算!M21-試算!N21</f>
        <v>0</v>
      </c>
      <c r="C14" s="105"/>
      <c r="D14" s="55"/>
      <c r="E14" s="56"/>
      <c r="F14" s="191">
        <f ca="1">IF(F6&gt;100000,100000,F6)+IF(試算!J20&gt;100000,100000,試算!J20)</f>
        <v>0</v>
      </c>
      <c r="G14" s="192">
        <f ca="1">IF((F14-100000)&lt;0,0,F14-100000)</f>
        <v>0</v>
      </c>
      <c r="I14" s="109" t="s">
        <v>38</v>
      </c>
      <c r="J14" s="119">
        <v>0</v>
      </c>
      <c r="K14" s="93">
        <f>K4-1100000</f>
        <v>-1100000</v>
      </c>
      <c r="L14" s="120">
        <v>0</v>
      </c>
      <c r="M14" s="121">
        <f>K4-600000</f>
        <v>-600000</v>
      </c>
    </row>
    <row r="15" spans="1:17" ht="14.25" thickBot="1" x14ac:dyDescent="0.2">
      <c r="C15" s="105"/>
      <c r="D15" s="55"/>
      <c r="E15" s="56"/>
      <c r="F15" s="218">
        <f ca="1">IF(F7&gt;100000,100000,F7)+IF(試算!J21&gt;100000,100000,試算!J21)</f>
        <v>0</v>
      </c>
      <c r="G15" s="207">
        <f ca="1">IF((F15-100000)&lt;0,0,F15-100000)</f>
        <v>0</v>
      </c>
      <c r="I15" s="109" t="s">
        <v>34</v>
      </c>
      <c r="J15" s="81">
        <v>1100000</v>
      </c>
      <c r="K15" s="93">
        <f>K4-1100000</f>
        <v>-1100000</v>
      </c>
      <c r="L15" s="80">
        <v>600000</v>
      </c>
      <c r="M15" s="121">
        <f>K4-600000</f>
        <v>-600000</v>
      </c>
    </row>
    <row r="16" spans="1:17" ht="14.25" thickBot="1" x14ac:dyDescent="0.2">
      <c r="A16" s="152" t="s">
        <v>128</v>
      </c>
      <c r="C16" s="102" t="s">
        <v>80</v>
      </c>
      <c r="D16" s="203">
        <v>0</v>
      </c>
      <c r="E16" s="54">
        <v>0</v>
      </c>
      <c r="F16" s="8" t="s">
        <v>25</v>
      </c>
      <c r="I16" s="110" t="s">
        <v>42</v>
      </c>
      <c r="J16" s="122">
        <v>3300000</v>
      </c>
      <c r="K16" s="93">
        <f>ROUNDDOWN(K4*0.75-275000,0)</f>
        <v>-275000</v>
      </c>
      <c r="L16" s="120">
        <v>1300000</v>
      </c>
      <c r="M16" s="121">
        <f>ROUNDDOWN(K4*0.75-275000,0)</f>
        <v>-275000</v>
      </c>
      <c r="Q16" s="14"/>
    </row>
    <row r="17" spans="1:17" x14ac:dyDescent="0.15">
      <c r="A17" s="334" t="s">
        <v>129</v>
      </c>
      <c r="C17" s="103" t="s">
        <v>34</v>
      </c>
      <c r="D17" s="55">
        <v>651000</v>
      </c>
      <c r="E17" s="56">
        <f>D4-650000</f>
        <v>-650000</v>
      </c>
      <c r="F17" s="8" t="s">
        <v>25</v>
      </c>
      <c r="I17" s="110" t="s">
        <v>42</v>
      </c>
      <c r="J17" s="122">
        <v>3300000</v>
      </c>
      <c r="K17" s="93">
        <f>ROUNDDOWN(K5*0.75-275000,0)</f>
        <v>-275000</v>
      </c>
      <c r="L17" s="120">
        <v>1300000</v>
      </c>
      <c r="M17" s="121">
        <f>ROUNDDOWN(K5*0.75-275000,0)</f>
        <v>-275000</v>
      </c>
      <c r="Q17" s="14"/>
    </row>
    <row r="18" spans="1:17" ht="14.25" thickBot="1" x14ac:dyDescent="0.2">
      <c r="A18" s="335" t="s">
        <v>130</v>
      </c>
      <c r="C18" s="103"/>
      <c r="D18" s="55">
        <v>1900000</v>
      </c>
      <c r="E18" s="56">
        <f>ROUNDDOWN(D4/4,-3)*2.8-80000</f>
        <v>-80000</v>
      </c>
      <c r="F18" s="6" t="s">
        <v>65</v>
      </c>
      <c r="I18" s="110" t="s">
        <v>43</v>
      </c>
      <c r="J18" s="122">
        <v>4100000</v>
      </c>
      <c r="K18" s="93">
        <f>ROUNDDOWN(K4*0.85-685000,0)</f>
        <v>-685000</v>
      </c>
      <c r="L18" s="120">
        <v>4100000</v>
      </c>
      <c r="M18" s="121">
        <f>ROUNDDOWN(K4*0.85-685000,0)</f>
        <v>-685000</v>
      </c>
    </row>
    <row r="19" spans="1:17" ht="14.25" thickBot="1" x14ac:dyDescent="0.2">
      <c r="A19" s="160" t="s">
        <v>51</v>
      </c>
      <c r="C19" s="103"/>
      <c r="D19" s="55">
        <v>3600000</v>
      </c>
      <c r="E19" s="56">
        <f>ROUNDDOWN(D4/4,-3)*3.2-440000</f>
        <v>-440000</v>
      </c>
      <c r="F19" s="131" t="s">
        <v>69</v>
      </c>
      <c r="I19" s="110"/>
      <c r="J19" s="122">
        <v>7700000</v>
      </c>
      <c r="K19" s="93">
        <f>ROUNDDOWN(K4*0.95-1455000,0)</f>
        <v>-1455000</v>
      </c>
      <c r="L19" s="120">
        <v>7700000</v>
      </c>
      <c r="M19" s="121">
        <f>ROUNDDOWN(K4*0.95-1455000,0)</f>
        <v>-1455000</v>
      </c>
    </row>
    <row r="20" spans="1:17" ht="14.25" thickBot="1" x14ac:dyDescent="0.2">
      <c r="A20" s="211">
        <f>IF(試算!C17="40歳以上65歳未満",試算!O17,0)</f>
        <v>0</v>
      </c>
      <c r="C20" s="104"/>
      <c r="D20" s="55">
        <v>6600000</v>
      </c>
      <c r="E20" s="56">
        <f>ROUNDDOWN(D4*0.9-1100000,0)</f>
        <v>-1100000</v>
      </c>
      <c r="F20" s="193">
        <f>IF(AND(試算!G17&gt;10000000,試算!P17="*"),150000,IF(AND(試算!G17&gt;8500000,試算!G17&lt;=10000000,試算!P17="*"),(試算!G17-8500000)*0.1,0))</f>
        <v>0</v>
      </c>
      <c r="I20" s="111"/>
      <c r="J20" s="122">
        <v>10000000</v>
      </c>
      <c r="K20" s="93">
        <f>K4-1955000</f>
        <v>-1955000</v>
      </c>
      <c r="L20" s="120">
        <v>10000000</v>
      </c>
      <c r="M20" s="121">
        <f>K4-1955000</f>
        <v>-1955000</v>
      </c>
    </row>
    <row r="21" spans="1:17" x14ac:dyDescent="0.15">
      <c r="A21" s="211">
        <f>IF(試算!C18="40歳以上65歳未満",試算!O18,0)</f>
        <v>0</v>
      </c>
      <c r="C21" s="104"/>
      <c r="D21" s="245">
        <v>8500000</v>
      </c>
      <c r="E21" s="56">
        <f>D4-1950000</f>
        <v>-1950000</v>
      </c>
      <c r="F21" s="193">
        <f>IF(AND(試算!G18&gt;10000000,試算!P18="*"),150000,IF(AND(試算!G18&gt;8500000,試算!G18&lt;=10000000,試算!P18="*"),(試算!G18-8500000)*0.1,0))</f>
        <v>0</v>
      </c>
      <c r="I21" s="113" t="s">
        <v>39</v>
      </c>
      <c r="J21" s="123">
        <v>0</v>
      </c>
      <c r="K21" s="124">
        <f>K5-1100000</f>
        <v>-1100000</v>
      </c>
      <c r="L21" s="125">
        <v>0</v>
      </c>
      <c r="M21" s="126">
        <f>K5-600000</f>
        <v>-600000</v>
      </c>
    </row>
    <row r="22" spans="1:17" x14ac:dyDescent="0.15">
      <c r="A22" s="211">
        <f>IF(試算!C19="40歳以上65歳未満",試算!O19,0)</f>
        <v>0</v>
      </c>
      <c r="C22" s="105"/>
      <c r="D22" s="245"/>
      <c r="E22" s="56"/>
      <c r="F22" s="193">
        <f>IF(AND(試算!G19&gt;10000000,試算!P19="*"),150000,IF(AND(試算!G19&gt;8500000,試算!G19&lt;=10000000,試算!P19="*"),(試算!G19-8500000)*0.1,0))</f>
        <v>0</v>
      </c>
      <c r="I22" s="109" t="s">
        <v>34</v>
      </c>
      <c r="J22" s="81">
        <v>1100000</v>
      </c>
      <c r="K22" s="93">
        <f>K5-1100000</f>
        <v>-1100000</v>
      </c>
      <c r="L22" s="80">
        <v>600000</v>
      </c>
      <c r="M22" s="121">
        <f>K5-600000</f>
        <v>-600000</v>
      </c>
    </row>
    <row r="23" spans="1:17" ht="14.25" thickBot="1" x14ac:dyDescent="0.2">
      <c r="A23" s="211">
        <f>IF(試算!C20="40歳以上65歳未満",試算!O20,0)</f>
        <v>0</v>
      </c>
      <c r="C23" s="106"/>
      <c r="D23" s="244"/>
      <c r="E23" s="52"/>
      <c r="F23" s="193">
        <f>IF(AND(試算!G20&gt;10000000,試算!P20="*"),150000,IF(AND(試算!G20&gt;8500000,試算!G20&lt;=10000000,試算!P20="*"),(試算!G20-8500000)*0.1,0))</f>
        <v>0</v>
      </c>
      <c r="I23" s="110" t="s">
        <v>42</v>
      </c>
      <c r="J23" s="122">
        <v>3300000</v>
      </c>
      <c r="K23" s="93">
        <f>ROUNDDOWN(K5*0.75-275000,0)</f>
        <v>-275000</v>
      </c>
      <c r="L23" s="120">
        <v>1300000</v>
      </c>
      <c r="M23" s="121">
        <f>ROUNDDOWN(K5*0.75-275000,0)</f>
        <v>-275000</v>
      </c>
      <c r="Q23" s="14"/>
    </row>
    <row r="24" spans="1:17" ht="14.25" thickBot="1" x14ac:dyDescent="0.2">
      <c r="A24" s="212">
        <f>IF(試算!C21="40歳以上65歳未満",試算!O21,0)</f>
        <v>0</v>
      </c>
      <c r="C24" s="102" t="s">
        <v>81</v>
      </c>
      <c r="D24" s="203">
        <v>0</v>
      </c>
      <c r="E24" s="54">
        <v>0</v>
      </c>
      <c r="F24" s="193">
        <f>IF(AND(試算!G21&gt;10000000,試算!P21="*"),150000,IF(AND(試算!G21&gt;8500000,試算!G21&lt;=10000000,試算!P21="*"),(試算!G21-8500000)*0.1,0))</f>
        <v>0</v>
      </c>
      <c r="I24" s="110" t="s">
        <v>43</v>
      </c>
      <c r="J24" s="122">
        <v>4100000</v>
      </c>
      <c r="K24" s="93">
        <f>ROUNDDOWN(K5*0.85-685000,0)</f>
        <v>-685000</v>
      </c>
      <c r="L24" s="120">
        <v>4100000</v>
      </c>
      <c r="M24" s="121">
        <f>ROUNDDOWN(K5*0.85-685000,0)</f>
        <v>-685000</v>
      </c>
    </row>
    <row r="25" spans="1:17" x14ac:dyDescent="0.15">
      <c r="A25" s="181"/>
      <c r="B25" s="88"/>
      <c r="C25" s="103" t="s">
        <v>34</v>
      </c>
      <c r="D25" s="55">
        <v>651000</v>
      </c>
      <c r="E25" s="56">
        <f>D5-650000</f>
        <v>-650000</v>
      </c>
      <c r="F25" s="208" t="s">
        <v>25</v>
      </c>
      <c r="I25" s="110"/>
      <c r="J25" s="122">
        <v>7700000</v>
      </c>
      <c r="K25" s="93">
        <f>ROUNDDOWN(K5*0.95-1455000,0)</f>
        <v>-1455000</v>
      </c>
      <c r="L25" s="120">
        <v>7700000</v>
      </c>
      <c r="M25" s="121">
        <f>ROUNDDOWN(K5*0.95-1455000,0)</f>
        <v>-1455000</v>
      </c>
    </row>
    <row r="26" spans="1:17" ht="14.25" thickBot="1" x14ac:dyDescent="0.2">
      <c r="A26" s="213" t="s">
        <v>139</v>
      </c>
      <c r="C26" s="103"/>
      <c r="D26" s="55">
        <v>1900000</v>
      </c>
      <c r="E26" s="56">
        <f>ROUNDDOWN(D5/4,-3)*2.8-80000</f>
        <v>-80000</v>
      </c>
      <c r="F26" s="209" t="s">
        <v>67</v>
      </c>
      <c r="G26" s="8"/>
      <c r="I26" s="112"/>
      <c r="J26" s="127">
        <v>10000000</v>
      </c>
      <c r="K26" s="128">
        <f>K5-1955000</f>
        <v>-1955000</v>
      </c>
      <c r="L26" s="129">
        <v>10000000</v>
      </c>
      <c r="M26" s="130">
        <f>K5-1955000</f>
        <v>-1955000</v>
      </c>
    </row>
    <row r="27" spans="1:17" ht="14.25" thickBot="1" x14ac:dyDescent="0.2">
      <c r="A27" s="223">
        <f>COUNTIF(試算!$C$17:$C$21,$A$7)</f>
        <v>0</v>
      </c>
      <c r="C27" s="103"/>
      <c r="D27" s="55">
        <v>3600000</v>
      </c>
      <c r="E27" s="56">
        <f>ROUNDDOWN(D5/4,-3)*3.2-440000</f>
        <v>-440000</v>
      </c>
      <c r="F27" s="194">
        <f ca="1">F3-G11-F20</f>
        <v>0</v>
      </c>
      <c r="G27" s="226"/>
      <c r="I27" s="109" t="s">
        <v>40</v>
      </c>
      <c r="J27" s="119">
        <v>0</v>
      </c>
      <c r="K27" s="93">
        <f>K6-1100000</f>
        <v>-1100000</v>
      </c>
      <c r="L27" s="120">
        <v>0</v>
      </c>
      <c r="M27" s="121">
        <f>K6-600000</f>
        <v>-600000</v>
      </c>
    </row>
    <row r="28" spans="1:17" x14ac:dyDescent="0.15">
      <c r="A28" s="89"/>
      <c r="C28" s="104"/>
      <c r="D28" s="55">
        <v>6600000</v>
      </c>
      <c r="E28" s="56">
        <f>ROUNDDOWN(D5*0.9-1100000,0)</f>
        <v>-1100000</v>
      </c>
      <c r="F28" s="195">
        <f t="shared" ref="F28:F31" ca="1" si="0">F4-G12-F21</f>
        <v>0</v>
      </c>
      <c r="G28" s="226"/>
      <c r="I28" s="109" t="s">
        <v>34</v>
      </c>
      <c r="J28" s="81">
        <v>1100000</v>
      </c>
      <c r="K28" s="93">
        <f>K6-1100000</f>
        <v>-1100000</v>
      </c>
      <c r="L28" s="80">
        <v>600000</v>
      </c>
      <c r="M28" s="121">
        <f>K6-600000</f>
        <v>-600000</v>
      </c>
    </row>
    <row r="29" spans="1:17" ht="15" thickBot="1" x14ac:dyDescent="0.2">
      <c r="A29" s="213" t="s">
        <v>84</v>
      </c>
      <c r="C29" s="104"/>
      <c r="D29" s="245">
        <v>8500000</v>
      </c>
      <c r="E29" s="56">
        <f>D5-1950000</f>
        <v>-1950000</v>
      </c>
      <c r="F29" s="195">
        <f t="shared" ca="1" si="0"/>
        <v>0</v>
      </c>
      <c r="G29" s="226"/>
      <c r="I29" s="110" t="s">
        <v>42</v>
      </c>
      <c r="J29" s="122">
        <v>3300000</v>
      </c>
      <c r="K29" s="93">
        <f>ROUNDDOWN(K6*0.75-275000,0)</f>
        <v>-275000</v>
      </c>
      <c r="L29" s="120">
        <v>1300000</v>
      </c>
      <c r="M29" s="121">
        <f>ROUNDDOWN(K6*0.75-275000,0)</f>
        <v>-275000</v>
      </c>
      <c r="O29" s="228"/>
      <c r="P29" s="228"/>
    </row>
    <row r="30" spans="1:17" ht="15" thickBot="1" x14ac:dyDescent="0.2">
      <c r="A30" s="223">
        <f>COUNTIF(試算!$C$17:$C$21,A$8)</f>
        <v>0</v>
      </c>
      <c r="C30" s="105"/>
      <c r="D30" s="245"/>
      <c r="E30" s="56"/>
      <c r="F30" s="195">
        <f t="shared" ca="1" si="0"/>
        <v>0</v>
      </c>
      <c r="G30" s="226"/>
      <c r="I30" s="110" t="s">
        <v>43</v>
      </c>
      <c r="J30" s="122">
        <v>4100000</v>
      </c>
      <c r="K30" s="93">
        <f>ROUNDDOWN(K6*0.85-685000,0)</f>
        <v>-685000</v>
      </c>
      <c r="L30" s="120">
        <v>4100000</v>
      </c>
      <c r="M30" s="121">
        <f>ROUNDDOWN(K6*0.85-685000,0)</f>
        <v>-685000</v>
      </c>
      <c r="O30" s="228"/>
      <c r="P30" s="228"/>
    </row>
    <row r="31" spans="1:17" ht="15" thickBot="1" x14ac:dyDescent="0.2">
      <c r="B31" s="92"/>
      <c r="C31" s="106"/>
      <c r="D31" s="244"/>
      <c r="E31" s="52"/>
      <c r="F31" s="196">
        <f t="shared" ca="1" si="0"/>
        <v>0</v>
      </c>
      <c r="G31" s="226"/>
      <c r="I31" s="110"/>
      <c r="J31" s="122">
        <v>7700000</v>
      </c>
      <c r="K31" s="93">
        <f>ROUNDDOWN(K6*0.95-1455000,0)</f>
        <v>-1455000</v>
      </c>
      <c r="L31" s="120">
        <v>7700000</v>
      </c>
      <c r="M31" s="121">
        <f>ROUNDDOWN(K6*0.95-1455000,0)</f>
        <v>-1455000</v>
      </c>
      <c r="O31" s="228"/>
      <c r="P31" s="228"/>
    </row>
    <row r="32" spans="1:17" ht="15" thickBot="1" x14ac:dyDescent="0.2">
      <c r="C32" s="102" t="s">
        <v>82</v>
      </c>
      <c r="D32" s="203">
        <v>0</v>
      </c>
      <c r="E32" s="54">
        <v>0</v>
      </c>
      <c r="I32" s="111"/>
      <c r="J32" s="122">
        <v>10000000</v>
      </c>
      <c r="K32" s="93">
        <f>K6-1955000</f>
        <v>-1955000</v>
      </c>
      <c r="L32" s="120">
        <v>10000000</v>
      </c>
      <c r="M32" s="121">
        <f>K6-1955000</f>
        <v>-1955000</v>
      </c>
      <c r="O32" s="228"/>
      <c r="P32" s="228"/>
    </row>
    <row r="33" spans="2:17" ht="14.25" x14ac:dyDescent="0.15">
      <c r="C33" s="103" t="s">
        <v>34</v>
      </c>
      <c r="D33" s="55">
        <v>651000</v>
      </c>
      <c r="E33" s="56">
        <f>D6-650000</f>
        <v>-650000</v>
      </c>
      <c r="I33" s="113" t="s">
        <v>41</v>
      </c>
      <c r="J33" s="123">
        <v>0</v>
      </c>
      <c r="K33" s="124">
        <f>K7-1100000</f>
        <v>-1100000</v>
      </c>
      <c r="L33" s="125">
        <v>0</v>
      </c>
      <c r="M33" s="126">
        <f>K7-600000</f>
        <v>-600000</v>
      </c>
      <c r="O33" s="228"/>
      <c r="P33" s="228"/>
    </row>
    <row r="34" spans="2:17" ht="14.25" x14ac:dyDescent="0.15">
      <c r="C34" s="103"/>
      <c r="D34" s="55">
        <v>1900000</v>
      </c>
      <c r="E34" s="56">
        <f>ROUNDDOWN(D6/4,-3)*2.8-80000</f>
        <v>-80000</v>
      </c>
      <c r="I34" s="109" t="s">
        <v>34</v>
      </c>
      <c r="J34" s="81">
        <v>1100000</v>
      </c>
      <c r="K34" s="79">
        <f>K7-1100000</f>
        <v>-1100000</v>
      </c>
      <c r="L34" s="80">
        <v>600000</v>
      </c>
      <c r="M34" s="82">
        <f>K7-600000</f>
        <v>-600000</v>
      </c>
      <c r="O34" s="228"/>
      <c r="P34" s="228"/>
    </row>
    <row r="35" spans="2:17" x14ac:dyDescent="0.15">
      <c r="C35" s="103"/>
      <c r="D35" s="55">
        <v>3600000</v>
      </c>
      <c r="E35" s="56">
        <f>ROUNDDOWN(D6/4,-3)*3.2-440000</f>
        <v>-440000</v>
      </c>
      <c r="F35" s="22"/>
      <c r="G35" s="22"/>
      <c r="H35" s="22"/>
      <c r="I35" s="110" t="s">
        <v>42</v>
      </c>
      <c r="J35" s="81">
        <v>3300000</v>
      </c>
      <c r="K35" s="79">
        <f>ROUNDDOWN(K7*0.75-275000,0)</f>
        <v>-275000</v>
      </c>
      <c r="L35" s="80">
        <v>1300000</v>
      </c>
      <c r="M35" s="82">
        <f>ROUNDDOWN(K7*0.75-275000,0)</f>
        <v>-275000</v>
      </c>
    </row>
    <row r="36" spans="2:17" x14ac:dyDescent="0.15">
      <c r="C36" s="104"/>
      <c r="D36" s="55">
        <v>6600000</v>
      </c>
      <c r="E36" s="56">
        <f>ROUNDDOWN(D6*0.9-1100000,0)</f>
        <v>-1100000</v>
      </c>
      <c r="I36" s="110" t="s">
        <v>43</v>
      </c>
      <c r="J36" s="81">
        <v>4100000</v>
      </c>
      <c r="K36" s="79">
        <f>ROUNDDOWN(K7*0.85-685000,0)</f>
        <v>-685000</v>
      </c>
      <c r="L36" s="80">
        <v>4100000</v>
      </c>
      <c r="M36" s="82">
        <f>ROUNDDOWN(K7*0.85-685000,0)</f>
        <v>-685000</v>
      </c>
    </row>
    <row r="37" spans="2:17" x14ac:dyDescent="0.15">
      <c r="C37" s="104"/>
      <c r="D37" s="245">
        <v>8500000</v>
      </c>
      <c r="E37" s="56">
        <f>D6-1950000</f>
        <v>-1950000</v>
      </c>
      <c r="H37" s="1"/>
      <c r="I37" s="110"/>
      <c r="J37" s="122">
        <v>7700000</v>
      </c>
      <c r="K37" s="79">
        <f>ROUNDDOWN(K7*0.95-1455000,0)</f>
        <v>-1455000</v>
      </c>
      <c r="L37" s="120">
        <v>7700000</v>
      </c>
      <c r="M37" s="82">
        <f>ROUNDDOWN(K7*0.95-1455000,0)</f>
        <v>-1455000</v>
      </c>
    </row>
    <row r="38" spans="2:17" ht="14.25" thickBot="1" x14ac:dyDescent="0.2">
      <c r="C38" s="105"/>
      <c r="D38" s="245"/>
      <c r="E38" s="56"/>
      <c r="H38" s="1"/>
      <c r="I38" s="112"/>
      <c r="J38" s="83">
        <v>10000000</v>
      </c>
      <c r="K38" s="84">
        <f>K7-1955000</f>
        <v>-1955000</v>
      </c>
      <c r="L38" s="85">
        <v>10000000</v>
      </c>
      <c r="M38" s="86">
        <f>K7-1955000</f>
        <v>-1955000</v>
      </c>
    </row>
    <row r="39" spans="2:17" ht="14.25" thickBot="1" x14ac:dyDescent="0.2">
      <c r="C39" s="106"/>
      <c r="D39" s="244"/>
      <c r="E39" s="52"/>
      <c r="H39" s="1"/>
    </row>
    <row r="40" spans="2:17" ht="14.25" thickBot="1" x14ac:dyDescent="0.2">
      <c r="C40" s="102" t="s">
        <v>83</v>
      </c>
      <c r="D40" s="203">
        <v>0</v>
      </c>
      <c r="E40" s="54">
        <v>0</v>
      </c>
      <c r="H40" s="1"/>
      <c r="I40" s="22"/>
    </row>
    <row r="41" spans="2:17" ht="14.25" x14ac:dyDescent="0.15">
      <c r="B41" s="93"/>
      <c r="C41" s="103" t="s">
        <v>34</v>
      </c>
      <c r="D41" s="55">
        <v>651000</v>
      </c>
      <c r="E41" s="56">
        <f>D7-650000</f>
        <v>-650000</v>
      </c>
      <c r="H41" s="1"/>
      <c r="I41" s="143" t="s">
        <v>48</v>
      </c>
      <c r="J41" s="108" t="s">
        <v>49</v>
      </c>
      <c r="L41" s="143" t="s">
        <v>50</v>
      </c>
      <c r="M41" s="108" t="s">
        <v>54</v>
      </c>
      <c r="N41" s="108" t="s">
        <v>53</v>
      </c>
      <c r="P41" s="22"/>
      <c r="Q41" s="228"/>
    </row>
    <row r="42" spans="2:17" ht="14.25" x14ac:dyDescent="0.15">
      <c r="C42" s="103"/>
      <c r="D42" s="55">
        <v>1900000</v>
      </c>
      <c r="E42" s="56">
        <f>ROUNDDOWN(D7/4,-3)*2.8-80000</f>
        <v>-80000</v>
      </c>
      <c r="F42" s="22"/>
      <c r="G42" s="22"/>
      <c r="H42" s="1"/>
      <c r="I42" s="144">
        <v>1</v>
      </c>
      <c r="J42" s="145">
        <v>3</v>
      </c>
      <c r="L42" s="155">
        <v>4</v>
      </c>
      <c r="M42" s="156"/>
      <c r="N42" s="156">
        <v>1</v>
      </c>
      <c r="O42" s="22"/>
      <c r="Q42" s="228"/>
    </row>
    <row r="43" spans="2:17" ht="14.25" x14ac:dyDescent="0.15">
      <c r="C43" s="103"/>
      <c r="D43" s="55">
        <v>3600000</v>
      </c>
      <c r="E43" s="56">
        <f>ROUNDDOWN(D7/4,-3)*3.2-440000</f>
        <v>-440000</v>
      </c>
      <c r="H43" s="1"/>
      <c r="I43" s="144">
        <v>2</v>
      </c>
      <c r="J43" s="145">
        <v>2</v>
      </c>
      <c r="L43" s="155">
        <v>5</v>
      </c>
      <c r="M43" s="156"/>
      <c r="N43" s="156">
        <v>1</v>
      </c>
      <c r="Q43" s="228"/>
    </row>
    <row r="44" spans="2:17" ht="14.25" x14ac:dyDescent="0.15">
      <c r="C44" s="104"/>
      <c r="D44" s="55">
        <v>6600000</v>
      </c>
      <c r="E44" s="56">
        <f>ROUNDDOWN(D7*0.9-1100000,0)</f>
        <v>-1100000</v>
      </c>
      <c r="H44" s="1"/>
      <c r="I44" s="144">
        <v>3</v>
      </c>
      <c r="J44" s="145">
        <v>1</v>
      </c>
      <c r="L44" s="155">
        <v>6</v>
      </c>
      <c r="M44" s="156">
        <v>7</v>
      </c>
      <c r="N44" s="156">
        <v>10</v>
      </c>
      <c r="Q44" s="228"/>
    </row>
    <row r="45" spans="2:17" ht="14.25" x14ac:dyDescent="0.15">
      <c r="C45" s="104"/>
      <c r="D45" s="245">
        <v>8500000</v>
      </c>
      <c r="E45" s="56">
        <f>D7-1950000</f>
        <v>-1950000</v>
      </c>
      <c r="H45" s="1"/>
      <c r="I45" s="144">
        <v>4</v>
      </c>
      <c r="J45" s="145">
        <v>12</v>
      </c>
      <c r="L45" s="155">
        <v>7</v>
      </c>
      <c r="M45" s="157">
        <v>8</v>
      </c>
      <c r="N45" s="157">
        <v>9</v>
      </c>
      <c r="Q45" s="228"/>
    </row>
    <row r="46" spans="2:17" ht="14.25" x14ac:dyDescent="0.15">
      <c r="C46" s="105"/>
      <c r="D46" s="245"/>
      <c r="E46" s="56"/>
      <c r="H46" s="1"/>
      <c r="I46" s="144">
        <v>5</v>
      </c>
      <c r="J46" s="145">
        <v>11</v>
      </c>
      <c r="L46" s="155">
        <v>8</v>
      </c>
      <c r="M46" s="156">
        <v>9</v>
      </c>
      <c r="N46" s="156">
        <v>8</v>
      </c>
      <c r="Q46" s="228"/>
    </row>
    <row r="47" spans="2:17" ht="14.25" thickBot="1" x14ac:dyDescent="0.2">
      <c r="C47" s="106"/>
      <c r="D47" s="244"/>
      <c r="E47" s="52"/>
      <c r="H47" s="1"/>
      <c r="I47" s="146">
        <v>6</v>
      </c>
      <c r="J47" s="145">
        <v>10</v>
      </c>
      <c r="K47" s="22"/>
      <c r="L47" s="155">
        <v>9</v>
      </c>
      <c r="M47" s="156">
        <v>10</v>
      </c>
      <c r="N47" s="156">
        <v>7</v>
      </c>
    </row>
    <row r="48" spans="2:17" x14ac:dyDescent="0.15">
      <c r="H48" s="1"/>
      <c r="I48" s="147">
        <v>7</v>
      </c>
      <c r="J48" s="145">
        <v>9</v>
      </c>
      <c r="L48" s="155">
        <v>10</v>
      </c>
      <c r="M48" s="156">
        <v>11</v>
      </c>
      <c r="N48" s="156">
        <v>6</v>
      </c>
    </row>
    <row r="49" spans="2:17" x14ac:dyDescent="0.15">
      <c r="I49" s="146">
        <v>8</v>
      </c>
      <c r="J49" s="145">
        <v>8</v>
      </c>
      <c r="L49" s="155">
        <v>11</v>
      </c>
      <c r="M49" s="156">
        <v>12</v>
      </c>
      <c r="N49" s="156">
        <v>5</v>
      </c>
    </row>
    <row r="50" spans="2:17" x14ac:dyDescent="0.15">
      <c r="I50" s="147">
        <v>9</v>
      </c>
      <c r="J50" s="145">
        <v>7</v>
      </c>
      <c r="L50" s="155">
        <v>12</v>
      </c>
      <c r="M50" s="156">
        <v>1</v>
      </c>
      <c r="N50" s="156">
        <v>4</v>
      </c>
    </row>
    <row r="51" spans="2:17" x14ac:dyDescent="0.15">
      <c r="I51" s="146">
        <v>10</v>
      </c>
      <c r="J51" s="145">
        <v>6</v>
      </c>
      <c r="L51" s="155">
        <v>1</v>
      </c>
      <c r="M51" s="156">
        <v>2</v>
      </c>
      <c r="N51" s="156">
        <v>3</v>
      </c>
    </row>
    <row r="52" spans="2:17" x14ac:dyDescent="0.15">
      <c r="B52" s="94"/>
      <c r="I52" s="147">
        <v>11</v>
      </c>
      <c r="J52" s="145">
        <v>5</v>
      </c>
      <c r="L52" s="155">
        <v>2</v>
      </c>
      <c r="M52" s="161" t="s">
        <v>55</v>
      </c>
      <c r="N52" s="156">
        <v>2</v>
      </c>
    </row>
    <row r="53" spans="2:17" ht="14.25" thickBot="1" x14ac:dyDescent="0.2">
      <c r="I53" s="148">
        <v>12</v>
      </c>
      <c r="J53" s="149">
        <v>4</v>
      </c>
      <c r="L53" s="158">
        <v>3</v>
      </c>
      <c r="M53" s="159"/>
      <c r="N53" s="159">
        <v>1</v>
      </c>
      <c r="Q53" s="22"/>
    </row>
    <row r="54" spans="2:17" x14ac:dyDescent="0.15">
      <c r="B54" s="94"/>
    </row>
    <row r="55" spans="2:17" ht="14.25" thickBot="1" x14ac:dyDescent="0.2">
      <c r="I55" s="6" t="s">
        <v>59</v>
      </c>
    </row>
    <row r="56" spans="2:17" x14ac:dyDescent="0.15">
      <c r="B56" s="94"/>
      <c r="I56" s="168" t="s">
        <v>57</v>
      </c>
      <c r="J56" s="169" t="s">
        <v>58</v>
      </c>
    </row>
    <row r="57" spans="2:17" x14ac:dyDescent="0.15">
      <c r="I57" s="172">
        <v>0</v>
      </c>
      <c r="J57" s="170">
        <f>VLOOKUP(試算!$G$14,データ2!$AA$2:$AF$14,2,FALSE)</f>
        <v>430000</v>
      </c>
    </row>
    <row r="58" spans="2:17" x14ac:dyDescent="0.15">
      <c r="B58" s="94"/>
      <c r="I58" s="172">
        <f>データ2!AC2</f>
        <v>24000001</v>
      </c>
      <c r="J58" s="170">
        <f>VLOOKUP(試算!$G$14,データ2!$AA$2:$AF$14,3,FALSE)</f>
        <v>290000</v>
      </c>
    </row>
    <row r="59" spans="2:17" x14ac:dyDescent="0.15">
      <c r="I59" s="172">
        <f>データ2!AD2</f>
        <v>24500001</v>
      </c>
      <c r="J59" s="170">
        <f>VLOOKUP(試算!$G$14,データ2!$AA$2:$AF$14,4,FALSE)</f>
        <v>150000</v>
      </c>
    </row>
    <row r="60" spans="2:17" ht="14.25" thickBot="1" x14ac:dyDescent="0.2">
      <c r="I60" s="173">
        <v>25000001</v>
      </c>
      <c r="J60" s="171">
        <v>0</v>
      </c>
    </row>
    <row r="64" spans="2:17" x14ac:dyDescent="0.15"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2:14" x14ac:dyDescent="0.15"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2:14" x14ac:dyDescent="0.15"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2:14" x14ac:dyDescent="0.15"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2:14" x14ac:dyDescent="0.15"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2:14" x14ac:dyDescent="0.15"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2:14" x14ac:dyDescent="0.15"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2:14" x14ac:dyDescent="0.15"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2:14" x14ac:dyDescent="0.15"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2:14" x14ac:dyDescent="0.15"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2:14" x14ac:dyDescent="0.15"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2:14" x14ac:dyDescent="0.15">
      <c r="B75"/>
      <c r="C75"/>
      <c r="D75"/>
      <c r="E75"/>
      <c r="F75"/>
      <c r="G75"/>
      <c r="H75"/>
      <c r="I75"/>
      <c r="J75"/>
      <c r="K75"/>
      <c r="L75"/>
      <c r="M75"/>
      <c r="N75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36"/>
  <sheetViews>
    <sheetView showGridLines="0" workbookViewId="0">
      <selection activeCell="L8" sqref="L8"/>
    </sheetView>
  </sheetViews>
  <sheetFormatPr defaultRowHeight="13.5" x14ac:dyDescent="0.15"/>
  <cols>
    <col min="1" max="1" width="2.625" customWidth="1"/>
    <col min="2" max="2" width="7.625" customWidth="1"/>
    <col min="3" max="6" width="8.625" customWidth="1"/>
    <col min="7" max="7" width="2.75" customWidth="1"/>
    <col min="8" max="8" width="7.625" customWidth="1"/>
    <col min="9" max="12" width="8.625" customWidth="1"/>
    <col min="13" max="13" width="2.625" customWidth="1"/>
    <col min="14" max="14" width="7.625" style="2" customWidth="1"/>
    <col min="15" max="18" width="8.625" customWidth="1"/>
    <col min="19" max="19" width="2.625" customWidth="1"/>
    <col min="20" max="20" width="7.625" style="2" customWidth="1"/>
    <col min="21" max="22" width="8.625" customWidth="1"/>
    <col min="23" max="23" width="12.25" customWidth="1"/>
    <col min="24" max="25" width="8.625" customWidth="1"/>
    <col min="26" max="26" width="8.625" style="186" customWidth="1"/>
    <col min="27" max="27" width="3.875" customWidth="1"/>
    <col min="28" max="31" width="10.625" customWidth="1"/>
  </cols>
  <sheetData>
    <row r="1" spans="1:31" ht="13.5" customHeight="1" x14ac:dyDescent="0.15">
      <c r="AB1" t="s">
        <v>56</v>
      </c>
    </row>
    <row r="2" spans="1:31" s="2" customFormat="1" ht="13.5" customHeight="1" x14ac:dyDescent="0.15">
      <c r="B2" s="32" t="s">
        <v>4</v>
      </c>
      <c r="C2" s="33" t="s">
        <v>0</v>
      </c>
      <c r="D2" s="34" t="s">
        <v>1</v>
      </c>
      <c r="E2" s="34" t="s">
        <v>2</v>
      </c>
      <c r="F2" s="34" t="s">
        <v>3</v>
      </c>
      <c r="G2" s="31"/>
      <c r="H2" s="32" t="s">
        <v>23</v>
      </c>
      <c r="I2" s="33" t="s">
        <v>0</v>
      </c>
      <c r="J2" s="34" t="s">
        <v>1</v>
      </c>
      <c r="K2" s="34" t="s">
        <v>2</v>
      </c>
      <c r="L2" s="34" t="s">
        <v>3</v>
      </c>
      <c r="N2" s="32" t="s">
        <v>5</v>
      </c>
      <c r="O2" s="33" t="s">
        <v>0</v>
      </c>
      <c r="P2" s="34" t="s">
        <v>1</v>
      </c>
      <c r="Q2" s="34" t="s">
        <v>2</v>
      </c>
      <c r="R2" s="34" t="s">
        <v>3</v>
      </c>
      <c r="S2" s="42"/>
      <c r="T2" s="32" t="s">
        <v>85</v>
      </c>
      <c r="U2" s="33" t="s">
        <v>0</v>
      </c>
      <c r="V2" s="251" t="s">
        <v>87</v>
      </c>
      <c r="W2" s="34" t="s">
        <v>2</v>
      </c>
      <c r="X2" s="34" t="s">
        <v>3</v>
      </c>
      <c r="Y2" s="34"/>
      <c r="Z2" s="232"/>
      <c r="AA2" s="34"/>
      <c r="AB2" s="167">
        <v>24000000</v>
      </c>
      <c r="AC2" s="177">
        <v>24000001</v>
      </c>
      <c r="AD2" s="177">
        <v>24500001</v>
      </c>
      <c r="AE2" s="177">
        <v>25000001</v>
      </c>
    </row>
    <row r="3" spans="1:31" s="2" customFormat="1" ht="13.5" customHeight="1" x14ac:dyDescent="0.15">
      <c r="B3" s="32">
        <v>3</v>
      </c>
      <c r="C3" s="36">
        <v>6.9400000000000003E-2</v>
      </c>
      <c r="D3" s="37">
        <v>25200</v>
      </c>
      <c r="E3" s="37">
        <v>25000</v>
      </c>
      <c r="F3" s="37">
        <v>630000</v>
      </c>
      <c r="G3" s="30"/>
      <c r="H3" s="32">
        <v>3</v>
      </c>
      <c r="I3" s="36">
        <v>1.4500000000000001E-2</v>
      </c>
      <c r="J3" s="37">
        <v>6300</v>
      </c>
      <c r="K3" s="37">
        <v>6500</v>
      </c>
      <c r="L3" s="37">
        <v>190000</v>
      </c>
      <c r="M3" s="38"/>
      <c r="N3" s="32">
        <v>3</v>
      </c>
      <c r="O3" s="36">
        <v>1.7399999999999999E-2</v>
      </c>
      <c r="P3" s="37">
        <v>11000</v>
      </c>
      <c r="Q3" s="37">
        <v>7300</v>
      </c>
      <c r="R3" s="37">
        <v>170000</v>
      </c>
      <c r="S3" s="43"/>
      <c r="T3" s="32">
        <v>3</v>
      </c>
      <c r="U3" s="36"/>
      <c r="V3" s="248"/>
      <c r="W3" s="252"/>
      <c r="X3" s="37"/>
      <c r="Y3" s="37"/>
      <c r="Z3" s="39"/>
      <c r="AA3" s="37">
        <v>3</v>
      </c>
      <c r="AB3" s="165">
        <v>430000</v>
      </c>
      <c r="AC3" s="166">
        <v>290000</v>
      </c>
      <c r="AD3" s="166">
        <v>150000</v>
      </c>
      <c r="AE3" s="166">
        <v>0</v>
      </c>
    </row>
    <row r="4" spans="1:31" s="2" customFormat="1" ht="13.5" customHeight="1" x14ac:dyDescent="0.15">
      <c r="B4" s="32">
        <v>4</v>
      </c>
      <c r="C4" s="36">
        <v>6.9400000000000003E-2</v>
      </c>
      <c r="D4" s="37">
        <v>25200</v>
      </c>
      <c r="E4" s="37">
        <v>25000</v>
      </c>
      <c r="F4" s="37">
        <v>650000</v>
      </c>
      <c r="G4" s="30"/>
      <c r="H4" s="32">
        <v>4</v>
      </c>
      <c r="I4" s="36">
        <v>1.4500000000000001E-2</v>
      </c>
      <c r="J4" s="37">
        <v>6300</v>
      </c>
      <c r="K4" s="37">
        <v>6500</v>
      </c>
      <c r="L4" s="37">
        <v>200000</v>
      </c>
      <c r="M4" s="38"/>
      <c r="N4" s="32">
        <v>4</v>
      </c>
      <c r="O4" s="36">
        <v>1.7399999999999999E-2</v>
      </c>
      <c r="P4" s="37">
        <v>11000</v>
      </c>
      <c r="Q4" s="37">
        <v>7300</v>
      </c>
      <c r="R4" s="37">
        <v>170000</v>
      </c>
      <c r="S4" s="43"/>
      <c r="T4" s="32">
        <v>4</v>
      </c>
      <c r="U4" s="36"/>
      <c r="V4" s="248"/>
      <c r="W4" s="252"/>
      <c r="X4" s="37"/>
      <c r="Y4" s="37"/>
      <c r="Z4" s="39"/>
      <c r="AA4" s="37">
        <v>4</v>
      </c>
      <c r="AB4" s="165">
        <v>430000</v>
      </c>
      <c r="AC4" s="166">
        <v>290000</v>
      </c>
      <c r="AD4" s="166">
        <v>150000</v>
      </c>
      <c r="AE4" s="166">
        <v>0</v>
      </c>
    </row>
    <row r="5" spans="1:31" s="38" customFormat="1" ht="13.5" customHeight="1" x14ac:dyDescent="0.15">
      <c r="B5" s="35">
        <v>5</v>
      </c>
      <c r="C5" s="36">
        <v>6.9400000000000003E-2</v>
      </c>
      <c r="D5" s="37">
        <v>25200</v>
      </c>
      <c r="E5" s="37">
        <v>25000</v>
      </c>
      <c r="F5" s="37">
        <v>650000</v>
      </c>
      <c r="G5" s="30"/>
      <c r="H5" s="32">
        <v>5</v>
      </c>
      <c r="I5" s="36">
        <v>1.4500000000000001E-2</v>
      </c>
      <c r="J5" s="37">
        <v>6300</v>
      </c>
      <c r="K5" s="37">
        <v>6500</v>
      </c>
      <c r="L5" s="37">
        <v>220000</v>
      </c>
      <c r="N5" s="32">
        <v>5</v>
      </c>
      <c r="O5" s="36">
        <v>1.7399999999999999E-2</v>
      </c>
      <c r="P5" s="37">
        <v>11000</v>
      </c>
      <c r="Q5" s="37">
        <v>7300</v>
      </c>
      <c r="R5" s="37">
        <v>170000</v>
      </c>
      <c r="S5" s="43"/>
      <c r="T5" s="32">
        <v>5</v>
      </c>
      <c r="U5" s="36"/>
      <c r="V5" s="248"/>
      <c r="W5" s="252"/>
      <c r="X5" s="37"/>
      <c r="Y5" s="37"/>
      <c r="Z5" s="39"/>
      <c r="AA5" s="37">
        <v>5</v>
      </c>
      <c r="AB5" s="165">
        <v>430000</v>
      </c>
      <c r="AC5" s="174">
        <v>290000</v>
      </c>
      <c r="AD5" s="174">
        <v>150000</v>
      </c>
      <c r="AE5" s="174">
        <v>0</v>
      </c>
    </row>
    <row r="6" spans="1:31" s="38" customFormat="1" ht="13.5" customHeight="1" x14ac:dyDescent="0.15">
      <c r="B6" s="35">
        <v>6</v>
      </c>
      <c r="C6" s="36">
        <v>6.9400000000000003E-2</v>
      </c>
      <c r="D6" s="37">
        <v>25200</v>
      </c>
      <c r="E6" s="37">
        <v>25000</v>
      </c>
      <c r="F6" s="37">
        <v>650000</v>
      </c>
      <c r="G6" s="30"/>
      <c r="H6" s="32">
        <v>6</v>
      </c>
      <c r="I6" s="36">
        <v>1.4500000000000001E-2</v>
      </c>
      <c r="J6" s="37">
        <v>6300</v>
      </c>
      <c r="K6" s="37">
        <v>6500</v>
      </c>
      <c r="L6" s="37">
        <v>240000</v>
      </c>
      <c r="N6" s="32">
        <v>6</v>
      </c>
      <c r="O6" s="36">
        <v>1.7399999999999999E-2</v>
      </c>
      <c r="P6" s="37">
        <v>11000</v>
      </c>
      <c r="Q6" s="37">
        <v>7300</v>
      </c>
      <c r="R6" s="37">
        <v>170000</v>
      </c>
      <c r="S6" s="39"/>
      <c r="T6" s="32">
        <v>6</v>
      </c>
      <c r="U6" s="36"/>
      <c r="V6" s="248"/>
      <c r="W6" s="252"/>
      <c r="X6" s="37"/>
      <c r="Y6" s="37"/>
      <c r="Z6" s="39"/>
      <c r="AA6" s="37">
        <v>6</v>
      </c>
      <c r="AB6" s="165">
        <v>430000</v>
      </c>
      <c r="AC6" s="174">
        <v>290000</v>
      </c>
      <c r="AD6" s="174">
        <v>150000</v>
      </c>
      <c r="AE6" s="174">
        <v>0</v>
      </c>
    </row>
    <row r="7" spans="1:31" ht="13.5" customHeight="1" x14ac:dyDescent="0.15">
      <c r="B7" s="32">
        <v>7</v>
      </c>
      <c r="C7" s="45">
        <v>7.0800000000000002E-2</v>
      </c>
      <c r="D7" s="46">
        <v>28300</v>
      </c>
      <c r="E7" s="46">
        <v>20500</v>
      </c>
      <c r="F7" s="46">
        <v>660000</v>
      </c>
      <c r="G7" s="1"/>
      <c r="H7" s="32">
        <v>7</v>
      </c>
      <c r="I7" s="45">
        <v>2.5000000000000001E-2</v>
      </c>
      <c r="J7" s="46">
        <v>11000</v>
      </c>
      <c r="K7" s="46">
        <v>7500</v>
      </c>
      <c r="L7" s="46">
        <v>260000</v>
      </c>
      <c r="N7" s="32">
        <v>7</v>
      </c>
      <c r="O7" s="45">
        <v>1.7399999999999999E-2</v>
      </c>
      <c r="P7" s="46">
        <v>11000</v>
      </c>
      <c r="Q7" s="46">
        <v>6200</v>
      </c>
      <c r="R7" s="46">
        <v>170000</v>
      </c>
      <c r="T7" s="32">
        <v>7</v>
      </c>
      <c r="U7" s="45"/>
      <c r="V7" s="249"/>
      <c r="W7" s="252"/>
      <c r="X7" s="46"/>
      <c r="Y7" s="46"/>
      <c r="Z7" s="233"/>
      <c r="AA7" s="32">
        <v>7</v>
      </c>
      <c r="AB7" s="163">
        <v>430000</v>
      </c>
      <c r="AC7" s="163">
        <v>290000</v>
      </c>
      <c r="AD7" s="163">
        <v>150000</v>
      </c>
      <c r="AE7" s="163">
        <v>0</v>
      </c>
    </row>
    <row r="8" spans="1:31" s="38" customFormat="1" ht="13.5" customHeight="1" x14ac:dyDescent="0.15">
      <c r="B8" s="35">
        <v>8</v>
      </c>
      <c r="C8" s="45">
        <v>7.0800000000000002E-2</v>
      </c>
      <c r="D8" s="46">
        <v>28300</v>
      </c>
      <c r="E8" s="46">
        <v>20500</v>
      </c>
      <c r="F8" s="46">
        <v>670000</v>
      </c>
      <c r="G8" s="30"/>
      <c r="H8" s="32">
        <v>8</v>
      </c>
      <c r="I8" s="45">
        <v>2.5000000000000001E-2</v>
      </c>
      <c r="J8" s="46">
        <v>11000</v>
      </c>
      <c r="K8" s="46">
        <v>7500</v>
      </c>
      <c r="L8" s="46">
        <v>260000</v>
      </c>
      <c r="M8"/>
      <c r="N8" s="32">
        <v>8</v>
      </c>
      <c r="O8" s="45">
        <v>1.7399999999999999E-2</v>
      </c>
      <c r="P8" s="46">
        <v>11000</v>
      </c>
      <c r="Q8" s="46">
        <v>6200</v>
      </c>
      <c r="R8" s="46">
        <v>170000</v>
      </c>
      <c r="S8"/>
      <c r="T8" s="32">
        <v>8</v>
      </c>
      <c r="U8" s="45">
        <v>2.8999999999999998E-3</v>
      </c>
      <c r="V8" s="249">
        <v>1500</v>
      </c>
      <c r="W8" s="252">
        <v>900</v>
      </c>
      <c r="X8" s="46">
        <v>30000</v>
      </c>
      <c r="Y8" s="46"/>
      <c r="Z8" s="233"/>
      <c r="AA8" s="32">
        <v>8</v>
      </c>
      <c r="AB8" s="163">
        <v>430000</v>
      </c>
      <c r="AC8" s="163">
        <v>290000</v>
      </c>
      <c r="AD8" s="163">
        <v>150000</v>
      </c>
      <c r="AE8" s="163">
        <v>0</v>
      </c>
    </row>
    <row r="9" spans="1:31" s="38" customFormat="1" ht="13.5" customHeight="1" x14ac:dyDescent="0.15">
      <c r="B9" s="35"/>
      <c r="C9" s="36"/>
      <c r="D9" s="37"/>
      <c r="E9" s="37"/>
      <c r="F9" s="37"/>
      <c r="G9" s="30"/>
      <c r="H9" s="32"/>
      <c r="I9" s="36"/>
      <c r="J9" s="37"/>
      <c r="K9" s="37"/>
      <c r="L9" s="37"/>
      <c r="N9" s="32"/>
      <c r="O9" s="36"/>
      <c r="P9" s="37"/>
      <c r="Q9" s="37"/>
      <c r="R9" s="37"/>
      <c r="S9" s="39"/>
      <c r="T9" s="32"/>
      <c r="U9" s="36"/>
      <c r="V9" s="248"/>
      <c r="W9" s="252"/>
      <c r="X9" s="37"/>
      <c r="Y9" s="37"/>
      <c r="Z9" s="39"/>
      <c r="AA9" s="37"/>
      <c r="AB9" s="175"/>
      <c r="AC9" s="174"/>
      <c r="AD9" s="174"/>
      <c r="AE9" s="174"/>
    </row>
    <row r="10" spans="1:31" ht="13.5" customHeight="1" x14ac:dyDescent="0.15">
      <c r="B10" s="35"/>
      <c r="C10" s="36"/>
      <c r="D10" s="37"/>
      <c r="E10" s="37"/>
      <c r="F10" s="37"/>
      <c r="G10" s="1"/>
      <c r="H10" s="32"/>
      <c r="I10" s="36"/>
      <c r="J10" s="37"/>
      <c r="K10" s="37"/>
      <c r="L10" s="37"/>
      <c r="N10" s="32"/>
      <c r="O10" s="36"/>
      <c r="P10" s="37"/>
      <c r="Q10" s="37"/>
      <c r="R10" s="37"/>
      <c r="T10" s="32"/>
      <c r="U10" s="36"/>
      <c r="V10" s="248"/>
      <c r="W10" s="252"/>
      <c r="X10" s="37"/>
      <c r="Y10" s="37"/>
      <c r="Z10" s="39"/>
      <c r="AA10" s="37"/>
      <c r="AB10" s="175"/>
      <c r="AC10" s="163"/>
      <c r="AD10" s="163"/>
      <c r="AE10" s="163"/>
    </row>
    <row r="11" spans="1:31" ht="13.5" customHeight="1" x14ac:dyDescent="0.15">
      <c r="B11" s="32"/>
      <c r="C11" s="36"/>
      <c r="D11" s="37"/>
      <c r="E11" s="37"/>
      <c r="F11" s="37"/>
      <c r="H11" s="32"/>
      <c r="I11" s="36"/>
      <c r="J11" s="37"/>
      <c r="K11" s="37"/>
      <c r="L11" s="37"/>
      <c r="N11" s="32"/>
      <c r="O11" s="36"/>
      <c r="P11" s="37"/>
      <c r="Q11" s="37"/>
      <c r="R11" s="37"/>
      <c r="T11" s="32"/>
      <c r="U11" s="36"/>
      <c r="V11" s="248"/>
      <c r="W11" s="252"/>
      <c r="X11" s="37"/>
      <c r="Y11" s="37"/>
      <c r="Z11" s="39"/>
      <c r="AA11" s="32"/>
      <c r="AB11" s="176"/>
      <c r="AC11" s="163"/>
      <c r="AD11" s="163"/>
      <c r="AE11" s="163"/>
    </row>
    <row r="12" spans="1:31" ht="13.5" customHeight="1" x14ac:dyDescent="0.15">
      <c r="B12" s="32"/>
      <c r="C12" s="36"/>
      <c r="D12" s="37"/>
      <c r="E12" s="37"/>
      <c r="F12" s="37"/>
      <c r="H12" s="32"/>
      <c r="I12" s="36"/>
      <c r="J12" s="37"/>
      <c r="K12" s="37"/>
      <c r="L12" s="37"/>
      <c r="N12" s="32"/>
      <c r="O12" s="36"/>
      <c r="P12" s="37"/>
      <c r="Q12" s="37"/>
      <c r="R12" s="37"/>
      <c r="T12" s="32"/>
      <c r="U12" s="36"/>
      <c r="V12" s="248"/>
      <c r="W12" s="252"/>
      <c r="X12" s="37"/>
      <c r="Y12" s="37"/>
      <c r="Z12" s="39"/>
      <c r="AA12" s="32"/>
      <c r="AB12" s="176"/>
      <c r="AC12" s="163"/>
      <c r="AD12" s="163"/>
      <c r="AE12" s="163"/>
    </row>
    <row r="13" spans="1:31" ht="13.5" customHeight="1" x14ac:dyDescent="0.15">
      <c r="B13" s="32"/>
      <c r="C13" s="36"/>
      <c r="D13" s="37"/>
      <c r="E13" s="44"/>
      <c r="F13" s="37"/>
      <c r="H13" s="32"/>
      <c r="I13" s="36"/>
      <c r="J13" s="37"/>
      <c r="K13" s="37"/>
      <c r="L13" s="37"/>
      <c r="N13" s="32"/>
      <c r="O13" s="75"/>
      <c r="P13" s="44"/>
      <c r="Q13" s="44"/>
      <c r="R13" s="37"/>
      <c r="T13" s="32"/>
      <c r="U13" s="75"/>
      <c r="V13" s="250"/>
      <c r="W13" s="252"/>
      <c r="X13" s="37"/>
      <c r="Y13" s="37"/>
      <c r="Z13" s="39"/>
      <c r="AA13" s="32"/>
      <c r="AB13" s="176"/>
      <c r="AC13" s="163"/>
      <c r="AD13" s="163"/>
      <c r="AE13" s="163"/>
    </row>
    <row r="14" spans="1:31" s="77" customFormat="1" ht="13.5" customHeight="1" x14ac:dyDescent="0.15">
      <c r="B14" s="76"/>
      <c r="C14" s="75"/>
      <c r="D14" s="44"/>
      <c r="E14" s="44"/>
      <c r="F14" s="44"/>
      <c r="H14" s="76"/>
      <c r="I14" s="75"/>
      <c r="J14" s="44"/>
      <c r="K14" s="44"/>
      <c r="L14" s="44"/>
      <c r="N14" s="76"/>
      <c r="O14" s="75"/>
      <c r="P14" s="44"/>
      <c r="Q14" s="44"/>
      <c r="R14" s="44"/>
      <c r="T14" s="76"/>
      <c r="U14" s="75"/>
      <c r="V14" s="250"/>
      <c r="W14" s="252"/>
      <c r="X14" s="44"/>
      <c r="Y14" s="44"/>
      <c r="Z14" s="234"/>
      <c r="AA14" s="76"/>
      <c r="AB14" s="78"/>
      <c r="AC14" s="164"/>
      <c r="AD14" s="164"/>
      <c r="AE14" s="164"/>
    </row>
    <row r="15" spans="1:31" ht="13.5" customHeight="1" x14ac:dyDescent="0.15">
      <c r="C15" s="3"/>
    </row>
    <row r="16" spans="1:31" ht="13.5" customHeight="1" x14ac:dyDescent="0.15">
      <c r="A16" s="41" t="s">
        <v>24</v>
      </c>
      <c r="B16" s="40"/>
      <c r="C16" s="40"/>
      <c r="D16" s="40"/>
      <c r="E16" s="40"/>
      <c r="L16" s="2"/>
      <c r="N16"/>
      <c r="T16"/>
    </row>
    <row r="17" spans="2:20" ht="13.5" customHeight="1" x14ac:dyDescent="0.15">
      <c r="B17" t="s">
        <v>13</v>
      </c>
      <c r="J17" s="2"/>
      <c r="M17" s="2"/>
      <c r="N17"/>
      <c r="T17"/>
    </row>
    <row r="18" spans="2:20" x14ac:dyDescent="0.15">
      <c r="B18" t="s">
        <v>15</v>
      </c>
      <c r="M18" s="2"/>
      <c r="N18"/>
      <c r="T18"/>
    </row>
    <row r="19" spans="2:20" x14ac:dyDescent="0.15">
      <c r="B19" t="s">
        <v>28</v>
      </c>
      <c r="M19" s="2"/>
      <c r="N19"/>
      <c r="T19"/>
    </row>
    <row r="21" spans="2:20" x14ac:dyDescent="0.15">
      <c r="D21" s="182"/>
      <c r="E21" s="183"/>
      <c r="F21" s="183"/>
      <c r="G21" s="183"/>
      <c r="H21" s="183"/>
      <c r="I21" s="183"/>
      <c r="J21" s="183"/>
      <c r="K21" s="183"/>
      <c r="L21" s="184"/>
    </row>
    <row r="22" spans="2:20" x14ac:dyDescent="0.15">
      <c r="D22" s="185" t="s">
        <v>61</v>
      </c>
      <c r="E22" s="186"/>
      <c r="F22" s="186"/>
      <c r="G22" s="186"/>
      <c r="H22" s="186"/>
      <c r="I22" s="186"/>
      <c r="J22" s="186"/>
      <c r="K22" s="186"/>
      <c r="L22" s="187"/>
    </row>
    <row r="23" spans="2:20" x14ac:dyDescent="0.15">
      <c r="D23" s="185" t="s">
        <v>62</v>
      </c>
      <c r="E23" s="186"/>
      <c r="F23" s="186"/>
      <c r="G23" s="186"/>
      <c r="H23" s="186"/>
      <c r="I23" s="186"/>
      <c r="J23" s="186"/>
      <c r="K23" s="186"/>
      <c r="L23" s="187"/>
    </row>
    <row r="24" spans="2:20" x14ac:dyDescent="0.15">
      <c r="D24" s="188"/>
      <c r="E24" s="189"/>
      <c r="F24" s="189"/>
      <c r="G24" s="189"/>
      <c r="H24" s="189"/>
      <c r="I24" s="189"/>
      <c r="J24" s="189"/>
      <c r="K24" s="189"/>
      <c r="L24" s="190"/>
    </row>
    <row r="26" spans="2:20" x14ac:dyDescent="0.15">
      <c r="D26" s="182"/>
      <c r="E26" s="183"/>
      <c r="F26" s="183"/>
      <c r="G26" s="183"/>
      <c r="H26" s="183"/>
      <c r="I26" s="183"/>
      <c r="J26" s="183"/>
      <c r="K26" s="183"/>
      <c r="L26" s="184"/>
    </row>
    <row r="27" spans="2:20" x14ac:dyDescent="0.15">
      <c r="D27" s="185" t="s">
        <v>76</v>
      </c>
      <c r="E27" s="186"/>
      <c r="F27" s="186"/>
      <c r="G27" s="186"/>
      <c r="H27" s="186"/>
      <c r="I27" s="186"/>
      <c r="J27" s="186"/>
      <c r="K27" s="186"/>
      <c r="L27" s="187"/>
    </row>
    <row r="28" spans="2:20" x14ac:dyDescent="0.15">
      <c r="D28" s="185" t="s">
        <v>77</v>
      </c>
      <c r="E28" s="186"/>
      <c r="F28" s="186"/>
      <c r="G28" s="186"/>
      <c r="H28" s="186"/>
      <c r="I28" s="186"/>
      <c r="J28" s="186"/>
      <c r="K28" s="186"/>
      <c r="L28" s="187"/>
    </row>
    <row r="29" spans="2:20" x14ac:dyDescent="0.15">
      <c r="D29" s="185" t="s">
        <v>78</v>
      </c>
      <c r="E29" s="186"/>
      <c r="F29" s="186"/>
      <c r="G29" s="186"/>
      <c r="H29" s="186"/>
      <c r="I29" s="186"/>
      <c r="J29" s="186"/>
      <c r="K29" s="186"/>
      <c r="L29" s="187"/>
    </row>
    <row r="30" spans="2:20" x14ac:dyDescent="0.15">
      <c r="D30" s="188"/>
      <c r="E30" s="189"/>
      <c r="F30" s="189"/>
      <c r="G30" s="189"/>
      <c r="H30" s="189"/>
      <c r="I30" s="189"/>
      <c r="J30" s="189"/>
      <c r="K30" s="189"/>
      <c r="L30" s="190"/>
    </row>
    <row r="32" spans="2:20" x14ac:dyDescent="0.15">
      <c r="D32" s="235"/>
      <c r="E32" s="236"/>
      <c r="F32" s="236"/>
      <c r="G32" s="236"/>
      <c r="H32" s="236"/>
      <c r="I32" s="236"/>
      <c r="J32" s="236"/>
      <c r="K32" s="236"/>
      <c r="L32" s="237"/>
    </row>
    <row r="33" spans="4:12" x14ac:dyDescent="0.15">
      <c r="D33" s="238" t="s">
        <v>86</v>
      </c>
      <c r="E33" s="239"/>
      <c r="F33" s="239"/>
      <c r="G33" s="239"/>
      <c r="H33" s="239"/>
      <c r="I33" s="239"/>
      <c r="J33" s="239"/>
      <c r="K33" s="239"/>
      <c r="L33" s="240"/>
    </row>
    <row r="34" spans="4:12" x14ac:dyDescent="0.15">
      <c r="D34" s="238" t="s">
        <v>79</v>
      </c>
      <c r="E34" s="239"/>
      <c r="F34" s="239"/>
      <c r="G34" s="239"/>
      <c r="H34" s="239"/>
      <c r="I34" s="239"/>
      <c r="J34" s="239"/>
      <c r="K34" s="239"/>
      <c r="L34" s="240"/>
    </row>
    <row r="35" spans="4:12" x14ac:dyDescent="0.15">
      <c r="D35" s="238" t="s">
        <v>78</v>
      </c>
      <c r="E35" s="239"/>
      <c r="F35" s="239"/>
      <c r="G35" s="239"/>
      <c r="H35" s="239"/>
      <c r="I35" s="239"/>
      <c r="J35" s="239"/>
      <c r="K35" s="239"/>
      <c r="L35" s="240"/>
    </row>
    <row r="36" spans="4:12" x14ac:dyDescent="0.15">
      <c r="D36" s="241"/>
      <c r="E36" s="242"/>
      <c r="F36" s="242"/>
      <c r="G36" s="242"/>
      <c r="H36" s="242"/>
      <c r="I36" s="242"/>
      <c r="J36" s="242"/>
      <c r="K36" s="242"/>
      <c r="L36" s="243"/>
    </row>
  </sheetData>
  <phoneticPr fontId="2"/>
  <conditionalFormatting sqref="H1:H2 N1:N2 AA1:AA2 AA15:AA65536 N15:N65536 H15:H31 H5:H7 N5:N7 AA5:AA7 AA9:AA11 N9:N11 H9:H11 H37:H65536">
    <cfRule type="cellIs" dxfId="17" priority="19" stopIfTrue="1" operator="equal">
      <formula>0</formula>
    </cfRule>
  </conditionalFormatting>
  <conditionalFormatting sqref="H12 N12 AA12">
    <cfRule type="cellIs" dxfId="16" priority="18" stopIfTrue="1" operator="equal">
      <formula>0</formula>
    </cfRule>
  </conditionalFormatting>
  <conditionalFormatting sqref="H13 N13 AA13">
    <cfRule type="cellIs" dxfId="15" priority="17" stopIfTrue="1" operator="equal">
      <formula>0</formula>
    </cfRule>
  </conditionalFormatting>
  <conditionalFormatting sqref="H14 N14 AA14">
    <cfRule type="cellIs" dxfId="14" priority="16" stopIfTrue="1" operator="equal">
      <formula>0</formula>
    </cfRule>
  </conditionalFormatting>
  <conditionalFormatting sqref="H4">
    <cfRule type="cellIs" dxfId="13" priority="15" stopIfTrue="1" operator="equal">
      <formula>0</formula>
    </cfRule>
  </conditionalFormatting>
  <conditionalFormatting sqref="AA3:AA4">
    <cfRule type="cellIs" dxfId="12" priority="13" stopIfTrue="1" operator="equal">
      <formula>0</formula>
    </cfRule>
  </conditionalFormatting>
  <conditionalFormatting sqref="H3">
    <cfRule type="cellIs" dxfId="11" priority="12" stopIfTrue="1" operator="equal">
      <formula>0</formula>
    </cfRule>
  </conditionalFormatting>
  <conditionalFormatting sqref="N3">
    <cfRule type="cellIs" dxfId="10" priority="11" stopIfTrue="1" operator="equal">
      <formula>0</formula>
    </cfRule>
  </conditionalFormatting>
  <conditionalFormatting sqref="N4">
    <cfRule type="cellIs" dxfId="9" priority="10" stopIfTrue="1" operator="equal">
      <formula>0</formula>
    </cfRule>
  </conditionalFormatting>
  <conditionalFormatting sqref="T1:T2 T15:T65536 T5:T7 T9:T11">
    <cfRule type="cellIs" dxfId="8" priority="9" stopIfTrue="1" operator="equal">
      <formula>0</formula>
    </cfRule>
  </conditionalFormatting>
  <conditionalFormatting sqref="T12">
    <cfRule type="cellIs" dxfId="7" priority="8" stopIfTrue="1" operator="equal">
      <formula>0</formula>
    </cfRule>
  </conditionalFormatting>
  <conditionalFormatting sqref="T13">
    <cfRule type="cellIs" dxfId="6" priority="7" stopIfTrue="1" operator="equal">
      <formula>0</formula>
    </cfRule>
  </conditionalFormatting>
  <conditionalFormatting sqref="T14">
    <cfRule type="cellIs" dxfId="5" priority="6" stopIfTrue="1" operator="equal">
      <formula>0</formula>
    </cfRule>
  </conditionalFormatting>
  <conditionalFormatting sqref="T3">
    <cfRule type="cellIs" dxfId="4" priority="5" stopIfTrue="1" operator="equal">
      <formula>0</formula>
    </cfRule>
  </conditionalFormatting>
  <conditionalFormatting sqref="T4">
    <cfRule type="cellIs" dxfId="3" priority="4" stopIfTrue="1" operator="equal">
      <formula>0</formula>
    </cfRule>
  </conditionalFormatting>
  <conditionalFormatting sqref="H8 N8 AA8">
    <cfRule type="cellIs" dxfId="2" priority="3" stopIfTrue="1" operator="equal">
      <formula>0</formula>
    </cfRule>
  </conditionalFormatting>
  <conditionalFormatting sqref="T8">
    <cfRule type="cellIs" dxfId="1" priority="2" stopIfTrue="1" operator="equal">
      <formula>0</formula>
    </cfRule>
  </conditionalFormatting>
  <conditionalFormatting sqref="H32:H36">
    <cfRule type="cellIs" dxfId="0" priority="1" stopIfTrue="1" operator="equal">
      <formula>0</formula>
    </cfRule>
  </conditionalFormatting>
  <dataValidations count="2">
    <dataValidation imeMode="off" allowBlank="1" showInputMessage="1" showErrorMessage="1" sqref="C3:F8 I3:L8 O3:S8 W9:W14 U3:AA8"/>
    <dataValidation imeMode="hiragana" allowBlank="1" showInputMessage="1" showErrorMessage="1" sqref="B3:B4 B2:AA2"/>
  </dataValidation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11</vt:i4>
      </vt:variant>
    </vt:vector>
  </HeadingPairs>
  <TitlesOfParts>
    <vt:vector size="14" baseType="lpstr">
      <vt:lpstr>試算</vt:lpstr>
      <vt:lpstr>データ1</vt:lpstr>
      <vt:lpstr>データ2</vt:lpstr>
      <vt:lpstr>試算!Print_Area</vt:lpstr>
      <vt:lpstr>高齢</vt:lpstr>
      <vt:lpstr>高齢２</vt:lpstr>
      <vt:lpstr>高齢３</vt:lpstr>
      <vt:lpstr>高齢４</vt:lpstr>
      <vt:lpstr>高齢５</vt:lpstr>
      <vt:lpstr>中齢</vt:lpstr>
      <vt:lpstr>中齢２</vt:lpstr>
      <vt:lpstr>中齢３</vt:lpstr>
      <vt:lpstr>中齢4</vt:lpstr>
      <vt:lpstr>中齢５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kokuho</dc:creator>
  <cp:lastModifiedBy>AD20-0052</cp:lastModifiedBy>
  <cp:lastPrinted>2026-02-26T04:14:50Z</cp:lastPrinted>
  <dcterms:created xsi:type="dcterms:W3CDTF">2009-05-12T02:24:18Z</dcterms:created>
  <dcterms:modified xsi:type="dcterms:W3CDTF">2026-02-26T04:38:06Z</dcterms:modified>
</cp:coreProperties>
</file>